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an\Documents\HHG\"/>
    </mc:Choice>
  </mc:AlternateContent>
  <bookViews>
    <workbookView xWindow="1944" yWindow="0" windowWidth="22068" windowHeight="9396" firstSheet="1" activeTab="1"/>
  </bookViews>
  <sheets>
    <sheet name="Sheet1 (2)" sheetId="2" state="hidden" r:id="rId1"/>
    <sheet name="GRAPHS ONLY" sheetId="3" r:id="rId2"/>
    <sheet name="MAIN OPEN ECONOMY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4" i="1" l="1"/>
  <c r="T114" i="1"/>
  <c r="R114" i="1"/>
  <c r="BG17" i="1" l="1"/>
  <c r="BG16" i="1" s="1"/>
  <c r="BG15" i="1" s="1"/>
  <c r="BG14" i="1" s="1"/>
  <c r="BG13" i="1" s="1"/>
  <c r="BG12" i="1" s="1"/>
  <c r="BG11" i="1" s="1"/>
  <c r="BG10" i="1" s="1"/>
  <c r="BG9" i="1" s="1"/>
  <c r="BG8" i="1" s="1"/>
  <c r="BG7" i="1" s="1"/>
  <c r="I32" i="1"/>
  <c r="K44" i="1" s="1"/>
  <c r="H46" i="1" l="1"/>
  <c r="BG18" i="1"/>
  <c r="BG19" i="1" s="1"/>
  <c r="BG20" i="1" s="1"/>
  <c r="BG21" i="1" s="1"/>
  <c r="BG22" i="1" s="1"/>
  <c r="BG23" i="1" s="1"/>
  <c r="BG24" i="1" s="1"/>
  <c r="BG25" i="1" s="1"/>
  <c r="BG26" i="1" s="1"/>
  <c r="BG27" i="1" s="1"/>
  <c r="C19" i="1"/>
  <c r="H66" i="1"/>
  <c r="V20" i="1"/>
  <c r="T20" i="1"/>
  <c r="R20" i="1"/>
  <c r="V15" i="1"/>
  <c r="T15" i="1"/>
  <c r="R15" i="1"/>
  <c r="C8" i="1"/>
  <c r="C4" i="1"/>
  <c r="C34" i="1"/>
  <c r="AM27" i="1" l="1"/>
  <c r="AM19" i="1"/>
  <c r="AM10" i="1"/>
  <c r="AM26" i="1"/>
  <c r="AM18" i="1"/>
  <c r="AM9" i="1"/>
  <c r="AM25" i="1"/>
  <c r="AM16" i="1"/>
  <c r="AM8" i="1"/>
  <c r="AM24" i="1"/>
  <c r="AM15" i="1"/>
  <c r="AM7" i="1"/>
  <c r="AM23" i="1"/>
  <c r="AM14" i="1"/>
  <c r="AM17" i="1"/>
  <c r="AM22" i="1"/>
  <c r="AM13" i="1"/>
  <c r="AM11" i="1"/>
  <c r="AM21" i="1"/>
  <c r="AM12" i="1"/>
  <c r="AM20" i="1"/>
  <c r="AZ17" i="1"/>
  <c r="AK27" i="1"/>
  <c r="AK24" i="1"/>
  <c r="AK25" i="1"/>
  <c r="AK17" i="1"/>
  <c r="AK23" i="1"/>
  <c r="AK15" i="1"/>
  <c r="AK7" i="1"/>
  <c r="AK19" i="1"/>
  <c r="AK10" i="1"/>
  <c r="AK8" i="1"/>
  <c r="AK22" i="1"/>
  <c r="AK14" i="1"/>
  <c r="AK12" i="1"/>
  <c r="AK11" i="1"/>
  <c r="AK18" i="1"/>
  <c r="AK16" i="1"/>
  <c r="AK21" i="1"/>
  <c r="AK13" i="1"/>
  <c r="AK20" i="1"/>
  <c r="AK26" i="1"/>
  <c r="AK9" i="1"/>
  <c r="AO27" i="1"/>
  <c r="AO19" i="1"/>
  <c r="AO11" i="1"/>
  <c r="AO26" i="1"/>
  <c r="AO10" i="1"/>
  <c r="AO18" i="1"/>
  <c r="AO25" i="1"/>
  <c r="AO17" i="1"/>
  <c r="AO9" i="1"/>
  <c r="AO24" i="1"/>
  <c r="AO8" i="1"/>
  <c r="AO16" i="1"/>
  <c r="AO23" i="1"/>
  <c r="AO15" i="1"/>
  <c r="AO7" i="1"/>
  <c r="AO22" i="1"/>
  <c r="AO14" i="1"/>
  <c r="AO20" i="1"/>
  <c r="AO21" i="1"/>
  <c r="AO13" i="1"/>
  <c r="AO12" i="1"/>
  <c r="BD17" i="1"/>
  <c r="BB17" i="1"/>
  <c r="C9" i="1"/>
  <c r="C13" i="1" l="1"/>
  <c r="C48" i="1"/>
  <c r="C43" i="1"/>
  <c r="C49" i="1"/>
  <c r="C47" i="1"/>
  <c r="C12" i="1"/>
  <c r="C26" i="1" s="1"/>
  <c r="C21" i="1" l="1"/>
  <c r="BA53" i="1" l="1"/>
  <c r="BC53" i="1" s="1"/>
  <c r="BC49" i="1"/>
  <c r="BA44" i="1"/>
  <c r="BC44" i="1" s="1"/>
  <c r="BC40" i="1"/>
  <c r="BA35" i="1"/>
  <c r="BC35" i="1" s="1"/>
  <c r="BC31" i="1"/>
  <c r="AK53" i="1"/>
  <c r="AM53" i="1" s="1"/>
  <c r="AM49" i="1"/>
  <c r="AK44" i="1"/>
  <c r="AM44" i="1" s="1"/>
  <c r="AM40" i="1"/>
  <c r="AK35" i="1"/>
  <c r="AM35" i="1" s="1"/>
  <c r="AM31" i="1"/>
  <c r="AI18" i="1"/>
  <c r="AI16" i="1"/>
  <c r="AI15" i="1" l="1"/>
  <c r="AZ16" i="1"/>
  <c r="BD16" i="1"/>
  <c r="BB16" i="1"/>
  <c r="AI19" i="1"/>
  <c r="AZ18" i="1"/>
  <c r="BB18" i="1"/>
  <c r="BD18" i="1"/>
  <c r="K64" i="1"/>
  <c r="I64" i="1"/>
  <c r="F64" i="1"/>
  <c r="F19" i="1"/>
  <c r="L8" i="1"/>
  <c r="AI14" i="1" l="1"/>
  <c r="AZ15" i="1"/>
  <c r="BB15" i="1"/>
  <c r="BD15" i="1"/>
  <c r="AI20" i="1"/>
  <c r="AZ19" i="1"/>
  <c r="BD19" i="1"/>
  <c r="BB19" i="1"/>
  <c r="AR20" i="1"/>
  <c r="AV17" i="1"/>
  <c r="AT15" i="1"/>
  <c r="AR16" i="1"/>
  <c r="AR14" i="1"/>
  <c r="AV19" i="1"/>
  <c r="AV18" i="1"/>
  <c r="AT19" i="1"/>
  <c r="AT16" i="1"/>
  <c r="AR17" i="1"/>
  <c r="AT14" i="1"/>
  <c r="AT17" i="1"/>
  <c r="AR18" i="1"/>
  <c r="AR15" i="1"/>
  <c r="AV15" i="1"/>
  <c r="AV16" i="1"/>
  <c r="AT18" i="1"/>
  <c r="AR19" i="1"/>
  <c r="AV20" i="1"/>
  <c r="AV14" i="1"/>
  <c r="AT20" i="1"/>
  <c r="J77" i="1"/>
  <c r="H44" i="1"/>
  <c r="C9" i="2"/>
  <c r="AI21" i="1" l="1"/>
  <c r="AZ20" i="1"/>
  <c r="BD20" i="1"/>
  <c r="BB20" i="1"/>
  <c r="AI13" i="1"/>
  <c r="AZ14" i="1"/>
  <c r="BB14" i="1"/>
  <c r="BD14" i="1"/>
  <c r="V34" i="1"/>
  <c r="T50" i="1"/>
  <c r="T55" i="1"/>
  <c r="V50" i="1"/>
  <c r="R55" i="1"/>
  <c r="V39" i="1"/>
  <c r="T39" i="1"/>
  <c r="R39" i="1"/>
  <c r="R50" i="1"/>
  <c r="V55" i="1"/>
  <c r="R29" i="1"/>
  <c r="V45" i="1"/>
  <c r="R34" i="1"/>
  <c r="R45" i="1"/>
  <c r="T29" i="1"/>
  <c r="T34" i="1"/>
  <c r="V29" i="1"/>
  <c r="T45" i="1"/>
  <c r="C27" i="1"/>
  <c r="C10" i="2"/>
  <c r="C13" i="2" s="1"/>
  <c r="C11" i="2"/>
  <c r="C14" i="1"/>
  <c r="AI12" i="1" l="1"/>
  <c r="AZ13" i="1"/>
  <c r="BD13" i="1"/>
  <c r="BB13" i="1"/>
  <c r="AT13" i="1"/>
  <c r="AR13" i="1"/>
  <c r="AV13" i="1"/>
  <c r="AI22" i="1"/>
  <c r="AZ21" i="1"/>
  <c r="BD21" i="1"/>
  <c r="BB21" i="1"/>
  <c r="AT21" i="1"/>
  <c r="AV21" i="1"/>
  <c r="AR21" i="1"/>
  <c r="T58" i="1"/>
  <c r="R58" i="1"/>
  <c r="V58" i="1"/>
  <c r="C16" i="1"/>
  <c r="C18" i="1" s="1"/>
  <c r="V98" i="1"/>
  <c r="R98" i="1"/>
  <c r="T98" i="1"/>
  <c r="V112" i="1" l="1"/>
  <c r="T112" i="1"/>
  <c r="R112" i="1"/>
  <c r="AI23" i="1"/>
  <c r="AZ22" i="1"/>
  <c r="BD22" i="1"/>
  <c r="BB22" i="1"/>
  <c r="AR22" i="1"/>
  <c r="AT22" i="1"/>
  <c r="AV22" i="1"/>
  <c r="AI11" i="1"/>
  <c r="AZ12" i="1"/>
  <c r="BD12" i="1"/>
  <c r="BB12" i="1"/>
  <c r="AR12" i="1"/>
  <c r="AV12" i="1"/>
  <c r="AT12" i="1"/>
  <c r="V72" i="1"/>
  <c r="T67" i="1"/>
  <c r="BB43" i="1" s="1"/>
  <c r="BD43" i="1" s="1"/>
  <c r="G8" i="1"/>
  <c r="R96" i="1" s="1"/>
  <c r="F14" i="1"/>
  <c r="T72" i="1"/>
  <c r="T117" i="1" s="1"/>
  <c r="R72" i="1"/>
  <c r="R117" i="1" s="1"/>
  <c r="R67" i="1"/>
  <c r="BB34" i="1" s="1"/>
  <c r="BB38" i="1" s="1"/>
  <c r="V67" i="1"/>
  <c r="BB52" i="1" s="1"/>
  <c r="BD52" i="1" s="1"/>
  <c r="R95" i="1"/>
  <c r="AK42" i="1"/>
  <c r="AK43" i="1" s="1"/>
  <c r="AK47" i="1" s="1"/>
  <c r="AK34" i="1"/>
  <c r="AM33" i="1" s="1"/>
  <c r="AM34" i="1" s="1"/>
  <c r="AK33" i="1"/>
  <c r="BA33" i="1" s="1"/>
  <c r="BA42" i="1"/>
  <c r="BA43" i="1" s="1"/>
  <c r="BA47" i="1" s="1"/>
  <c r="T95" i="1"/>
  <c r="BA51" i="1"/>
  <c r="BA52" i="1" s="1"/>
  <c r="BC51" i="1" s="1"/>
  <c r="BC52" i="1" s="1"/>
  <c r="AK51" i="1"/>
  <c r="AK52" i="1" s="1"/>
  <c r="AM51" i="1" s="1"/>
  <c r="AM52" i="1" s="1"/>
  <c r="V95" i="1"/>
  <c r="C20" i="1"/>
  <c r="V116" i="1" l="1"/>
  <c r="V113" i="1"/>
  <c r="V117" i="1"/>
  <c r="T116" i="1"/>
  <c r="T115" i="1" s="1"/>
  <c r="T113" i="1"/>
  <c r="R113" i="1"/>
  <c r="R116" i="1"/>
  <c r="R115" i="1" s="1"/>
  <c r="R100" i="1"/>
  <c r="R82" i="1"/>
  <c r="R76" i="1"/>
  <c r="R88" i="1" s="1"/>
  <c r="R91" i="1" s="1"/>
  <c r="BJ34" i="1" s="1"/>
  <c r="V96" i="1"/>
  <c r="T96" i="1"/>
  <c r="AI10" i="1"/>
  <c r="AZ11" i="1"/>
  <c r="BB11" i="1"/>
  <c r="BD11" i="1"/>
  <c r="AV11" i="1"/>
  <c r="AR11" i="1"/>
  <c r="AT11" i="1"/>
  <c r="C22" i="1"/>
  <c r="V107" i="1"/>
  <c r="T107" i="1"/>
  <c r="R107" i="1"/>
  <c r="AI24" i="1"/>
  <c r="AZ23" i="1"/>
  <c r="BB23" i="1"/>
  <c r="BD23" i="1"/>
  <c r="AR23" i="1"/>
  <c r="AV23" i="1"/>
  <c r="AT23" i="1"/>
  <c r="V100" i="1"/>
  <c r="V76" i="1"/>
  <c r="V88" i="1" s="1"/>
  <c r="V91" i="1" s="1"/>
  <c r="BJ53" i="1" s="1"/>
  <c r="V82" i="1"/>
  <c r="T82" i="1"/>
  <c r="T76" i="1"/>
  <c r="T88" i="1" s="1"/>
  <c r="T91" i="1" s="1"/>
  <c r="BJ43" i="1" s="1"/>
  <c r="BD42" i="1"/>
  <c r="BB46" i="1"/>
  <c r="BB47" i="1"/>
  <c r="AL43" i="1"/>
  <c r="AL47" i="1" s="1"/>
  <c r="T100" i="1"/>
  <c r="AL52" i="1"/>
  <c r="AN52" i="1" s="1"/>
  <c r="AK38" i="1"/>
  <c r="BD51" i="1"/>
  <c r="BB55" i="1"/>
  <c r="BC42" i="1"/>
  <c r="BC43" i="1" s="1"/>
  <c r="BB56" i="1"/>
  <c r="AL34" i="1"/>
  <c r="AN33" i="1" s="1"/>
  <c r="AM42" i="1"/>
  <c r="AM43" i="1" s="1"/>
  <c r="T97" i="1"/>
  <c r="BA34" i="1"/>
  <c r="BC33" i="1" s="1"/>
  <c r="BC34" i="1" s="1"/>
  <c r="BD34" i="1"/>
  <c r="BD33" i="1"/>
  <c r="BA56" i="1"/>
  <c r="V97" i="1"/>
  <c r="BB37" i="1"/>
  <c r="AK56" i="1"/>
  <c r="R97" i="1"/>
  <c r="V115" i="1" l="1"/>
  <c r="V111" i="1" s="1"/>
  <c r="T111" i="1"/>
  <c r="R111" i="1"/>
  <c r="AI9" i="1"/>
  <c r="AZ10" i="1"/>
  <c r="BB10" i="1"/>
  <c r="BD10" i="1"/>
  <c r="AR10" i="1"/>
  <c r="AT10" i="1"/>
  <c r="AV10" i="1"/>
  <c r="AI25" i="1"/>
  <c r="AZ24" i="1"/>
  <c r="BD24" i="1"/>
  <c r="BB24" i="1"/>
  <c r="AV24" i="1"/>
  <c r="AT24" i="1"/>
  <c r="AR24" i="1"/>
  <c r="BI23" i="1"/>
  <c r="BI12" i="1"/>
  <c r="BI26" i="1"/>
  <c r="BI14" i="1"/>
  <c r="BI24" i="1"/>
  <c r="BI18" i="1"/>
  <c r="BI17" i="1"/>
  <c r="BI11" i="1"/>
  <c r="BI20" i="1"/>
  <c r="BI9" i="1"/>
  <c r="BI22" i="1"/>
  <c r="BI15" i="1"/>
  <c r="BI13" i="1"/>
  <c r="BI7" i="1"/>
  <c r="BI27" i="1"/>
  <c r="BI25" i="1"/>
  <c r="BI19" i="1"/>
  <c r="BI16" i="1"/>
  <c r="BI21" i="1"/>
  <c r="BI10" i="1"/>
  <c r="BI8" i="1"/>
  <c r="BM27" i="1"/>
  <c r="BM16" i="1"/>
  <c r="BM8" i="1"/>
  <c r="BK24" i="1"/>
  <c r="BK27" i="1"/>
  <c r="BM11" i="1"/>
  <c r="BM21" i="1"/>
  <c r="BM23" i="1"/>
  <c r="BK8" i="1"/>
  <c r="BK11" i="1"/>
  <c r="BM26" i="1"/>
  <c r="BK13" i="1"/>
  <c r="BM25" i="1"/>
  <c r="BK16" i="1"/>
  <c r="BM14" i="1"/>
  <c r="BM10" i="1"/>
  <c r="BK22" i="1"/>
  <c r="BK18" i="1"/>
  <c r="BK21" i="1"/>
  <c r="BM24" i="1"/>
  <c r="BM15" i="1"/>
  <c r="BK26" i="1"/>
  <c r="BK23" i="1"/>
  <c r="BK10" i="1"/>
  <c r="BK17" i="1"/>
  <c r="BM12" i="1"/>
  <c r="BM13" i="1"/>
  <c r="BM20" i="1"/>
  <c r="BK20" i="1"/>
  <c r="BK7" i="1"/>
  <c r="BK15" i="1"/>
  <c r="BM7" i="1"/>
  <c r="BK14" i="1"/>
  <c r="BM17" i="1"/>
  <c r="BM18" i="1"/>
  <c r="BM9" i="1"/>
  <c r="BK9" i="1"/>
  <c r="BK12" i="1"/>
  <c r="BK25" i="1"/>
  <c r="BM22" i="1"/>
  <c r="BM19" i="1"/>
  <c r="BK19" i="1"/>
  <c r="V101" i="1"/>
  <c r="V99" i="1" s="1"/>
  <c r="V106" i="1" s="1"/>
  <c r="BJ36" i="1"/>
  <c r="BJ37" i="1"/>
  <c r="BL33" i="1"/>
  <c r="BL34" i="1" s="1"/>
  <c r="BJ55" i="1"/>
  <c r="BJ56" i="1"/>
  <c r="BL52" i="1"/>
  <c r="BL53" i="1" s="1"/>
  <c r="T101" i="1"/>
  <c r="T99" i="1" s="1"/>
  <c r="BL42" i="1"/>
  <c r="BL43" i="1" s="1"/>
  <c r="BJ46" i="1"/>
  <c r="BJ45" i="1"/>
  <c r="R101" i="1"/>
  <c r="R99" i="1" s="1"/>
  <c r="AN43" i="1"/>
  <c r="AL56" i="1"/>
  <c r="AL55" i="1"/>
  <c r="AN51" i="1"/>
  <c r="AN42" i="1"/>
  <c r="AL46" i="1"/>
  <c r="AN34" i="1"/>
  <c r="AL38" i="1"/>
  <c r="AL37" i="1"/>
  <c r="BA38" i="1"/>
  <c r="V121" i="1" l="1"/>
  <c r="V122" i="1"/>
  <c r="R122" i="1"/>
  <c r="R106" i="1"/>
  <c r="AZ25" i="1"/>
  <c r="BB25" i="1"/>
  <c r="BD25" i="1"/>
  <c r="AI26" i="1"/>
  <c r="AV25" i="1"/>
  <c r="AR25" i="1"/>
  <c r="AT25" i="1"/>
  <c r="V108" i="1"/>
  <c r="BI52" i="1"/>
  <c r="AI8" i="1"/>
  <c r="AZ9" i="1"/>
  <c r="BD9" i="1"/>
  <c r="BB9" i="1"/>
  <c r="AR9" i="1"/>
  <c r="AV9" i="1"/>
  <c r="AT9" i="1"/>
  <c r="T122" i="1"/>
  <c r="T106" i="1"/>
  <c r="T121" i="1"/>
  <c r="R121" i="1"/>
  <c r="AI7" i="1" l="1"/>
  <c r="AZ8" i="1"/>
  <c r="BB8" i="1"/>
  <c r="BD8" i="1"/>
  <c r="AV8" i="1"/>
  <c r="AR8" i="1"/>
  <c r="AT8" i="1"/>
  <c r="BI55" i="1"/>
  <c r="BI56" i="1" s="1"/>
  <c r="BI53" i="1"/>
  <c r="BK53" i="1" s="1"/>
  <c r="AZ26" i="1"/>
  <c r="BB26" i="1"/>
  <c r="BD26" i="1"/>
  <c r="AI27" i="1"/>
  <c r="AT26" i="1"/>
  <c r="AV26" i="1"/>
  <c r="AR26" i="1"/>
  <c r="BI33" i="1"/>
  <c r="R108" i="1"/>
  <c r="T108" i="1"/>
  <c r="BI42" i="1"/>
  <c r="BI43" i="1" l="1"/>
  <c r="BK43" i="1" s="1"/>
  <c r="BI45" i="1"/>
  <c r="BI46" i="1" s="1"/>
  <c r="BI34" i="1"/>
  <c r="BK34" i="1" s="1"/>
  <c r="BI36" i="1"/>
  <c r="BI37" i="1" s="1"/>
  <c r="AZ27" i="1"/>
  <c r="BD27" i="1"/>
  <c r="BB27" i="1"/>
  <c r="AT27" i="1"/>
  <c r="AR27" i="1"/>
  <c r="AV27" i="1"/>
  <c r="AZ7" i="1"/>
  <c r="BD7" i="1"/>
  <c r="BB7" i="1"/>
  <c r="AR7" i="1"/>
  <c r="AV7" i="1"/>
  <c r="AT7" i="1"/>
</calcChain>
</file>

<file path=xl/sharedStrings.xml><?xml version="1.0" encoding="utf-8"?>
<sst xmlns="http://schemas.openxmlformats.org/spreadsheetml/2006/main" count="219" uniqueCount="115">
  <si>
    <t>Long run parameters</t>
  </si>
  <si>
    <t>A</t>
  </si>
  <si>
    <t>Tau</t>
  </si>
  <si>
    <t>Labor Force</t>
  </si>
  <si>
    <t>Depreciation Rate</t>
  </si>
  <si>
    <t>Capital share</t>
  </si>
  <si>
    <t>Steady State Capital</t>
  </si>
  <si>
    <t>Steady State Output</t>
  </si>
  <si>
    <t>Sigma/Rho</t>
  </si>
  <si>
    <t>SS maintenance</t>
  </si>
  <si>
    <t>Ratios to Output</t>
  </si>
  <si>
    <t xml:space="preserve">   Capital</t>
  </si>
  <si>
    <t xml:space="preserve">   Maintenance</t>
  </si>
  <si>
    <t>Solow MOD</t>
  </si>
  <si>
    <t>mpk SS</t>
  </si>
  <si>
    <t xml:space="preserve">Consumption </t>
  </si>
  <si>
    <t>Investment</t>
  </si>
  <si>
    <t>Government</t>
  </si>
  <si>
    <t xml:space="preserve">Target rate of inflation </t>
  </si>
  <si>
    <t xml:space="preserve">Natrual rate of interest </t>
  </si>
  <si>
    <t>Shocks -- Expenditure</t>
  </si>
  <si>
    <t>base</t>
  </si>
  <si>
    <t>alt(i)</t>
  </si>
  <si>
    <t>alt(ii)</t>
  </si>
  <si>
    <t>Gov't Spending</t>
  </si>
  <si>
    <t>In percent of potential output</t>
  </si>
  <si>
    <t>Tax Measures (one-off)</t>
  </si>
  <si>
    <t>Shocks - Supply / Expected inflation</t>
  </si>
  <si>
    <r>
      <t>Supply shock (% of Y</t>
    </r>
    <r>
      <rPr>
        <vertAlign val="super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</si>
  <si>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t>In percent</t>
  </si>
  <si>
    <t>Inflation expectations (gap w.r.t. target)</t>
  </si>
  <si>
    <t xml:space="preserve">Shocks - Discretionary monetary policy </t>
  </si>
  <si>
    <t>Deviation from Taylor Rule (shift)</t>
  </si>
  <si>
    <t>Main Equations of Short-Run Model</t>
  </si>
  <si>
    <t>Denominator term</t>
  </si>
  <si>
    <t>Calculation of equlibrium output gap  -- component by component</t>
  </si>
  <si>
    <t>(a) Inflation expectations component</t>
  </si>
  <si>
    <t>(b) Supply shock component</t>
  </si>
  <si>
    <t>(c) Fiscal component</t>
  </si>
  <si>
    <t>(d) Discretionary monetary component</t>
  </si>
  <si>
    <t xml:space="preserve">   Maintenance (Steady state investment)</t>
  </si>
  <si>
    <t>Equilibrium inflation rate</t>
  </si>
  <si>
    <t xml:space="preserve">Equilibrium real interest rate </t>
  </si>
  <si>
    <t xml:space="preserve">  Consumption </t>
  </si>
  <si>
    <t xml:space="preserve">  Investment </t>
  </si>
  <si>
    <t xml:space="preserve">  Governerment Spending</t>
  </si>
  <si>
    <t xml:space="preserve">Currency-unit results </t>
  </si>
  <si>
    <t xml:space="preserve"> Gross Domestic Product</t>
  </si>
  <si>
    <t>Check</t>
  </si>
  <si>
    <t>IS Curve</t>
  </si>
  <si>
    <t>gap</t>
  </si>
  <si>
    <t>RR Curve</t>
  </si>
  <si>
    <t>Phillips Curve (PC)</t>
  </si>
  <si>
    <t>x</t>
  </si>
  <si>
    <t>y</t>
  </si>
  <si>
    <t>graph</t>
  </si>
  <si>
    <t>title</t>
  </si>
  <si>
    <t>(i)</t>
  </si>
  <si>
    <t>(ii)</t>
  </si>
  <si>
    <t>Exports of goods and services</t>
  </si>
  <si>
    <t xml:space="preserve">   Consumption</t>
  </si>
  <si>
    <t xml:space="preserve">   Government</t>
  </si>
  <si>
    <t xml:space="preserve">    Net Exports</t>
  </si>
  <si>
    <t xml:space="preserve">       Exports</t>
  </si>
  <si>
    <t xml:space="preserve">       Imports</t>
  </si>
  <si>
    <t>Sigma</t>
  </si>
  <si>
    <t>External real rate of interest</t>
  </si>
  <si>
    <t xml:space="preserve">Risk Premium </t>
  </si>
  <si>
    <t>Long run external prices</t>
  </si>
  <si>
    <t xml:space="preserve">  Exports Px</t>
  </si>
  <si>
    <t xml:space="preserve">  Imports Pim</t>
  </si>
  <si>
    <r>
      <t>K</t>
    </r>
    <r>
      <rPr>
        <vertAlign val="subscript"/>
        <sz val="11"/>
        <color theme="1"/>
        <rFont val="Calibri"/>
        <family val="2"/>
        <scheme val="minor"/>
      </rPr>
      <t>SS</t>
    </r>
  </si>
  <si>
    <r>
      <t xml:space="preserve">  Non-tradable sector L</t>
    </r>
    <r>
      <rPr>
        <vertAlign val="subscript"/>
        <sz val="11"/>
        <color theme="1"/>
        <rFont val="Calibri"/>
        <family val="2"/>
        <scheme val="minor"/>
      </rPr>
      <t>N</t>
    </r>
  </si>
  <si>
    <r>
      <t xml:space="preserve">  Export sector L</t>
    </r>
    <r>
      <rPr>
        <vertAlign val="subscript"/>
        <sz val="11"/>
        <color theme="1"/>
        <rFont val="Calibri"/>
        <family val="2"/>
        <scheme val="minor"/>
      </rPr>
      <t>X</t>
    </r>
  </si>
  <si>
    <r>
      <t>Total factor prod, exports A</t>
    </r>
    <r>
      <rPr>
        <vertAlign val="subscript"/>
        <sz val="11"/>
        <color theme="1"/>
        <rFont val="Calibri"/>
        <family val="2"/>
        <scheme val="minor"/>
      </rPr>
      <t>X</t>
    </r>
  </si>
  <si>
    <r>
      <t>Total factor prod, non-tradables A</t>
    </r>
    <r>
      <rPr>
        <vertAlign val="subscript"/>
        <sz val="11"/>
        <color theme="1"/>
        <rFont val="Calibri"/>
        <family val="2"/>
        <scheme val="minor"/>
      </rPr>
      <t>N</t>
    </r>
  </si>
  <si>
    <r>
      <t>Y</t>
    </r>
    <r>
      <rPr>
        <vertAlign val="subscript"/>
        <sz val="11"/>
        <color theme="1"/>
        <rFont val="Calibri"/>
        <family val="2"/>
        <scheme val="minor"/>
      </rPr>
      <t>SS</t>
    </r>
  </si>
  <si>
    <t xml:space="preserve">  Non-tradables</t>
  </si>
  <si>
    <t xml:space="preserve">  Exports</t>
  </si>
  <si>
    <t>after tax mpk SS - deprec. rate</t>
  </si>
  <si>
    <t>Imports of goods and services</t>
  </si>
  <si>
    <t xml:space="preserve">Shocks - External financial pressures (efp) </t>
  </si>
  <si>
    <t xml:space="preserve">  Total external financial pressures</t>
  </si>
  <si>
    <t xml:space="preserve">    Real interest rate -- dev.from baseline </t>
  </si>
  <si>
    <t xml:space="preserve">    Risk premium -- dev.from baseline </t>
  </si>
  <si>
    <t xml:space="preserve">Shocks - External Terms of Trade (ln(TT)) </t>
  </si>
  <si>
    <t xml:space="preserve">  TT log deviation from baseline </t>
  </si>
  <si>
    <t xml:space="preserve">    Export price log dev</t>
  </si>
  <si>
    <t xml:space="preserve">    Import price log dev </t>
  </si>
  <si>
    <t xml:space="preserve">(e) External financial pressure component </t>
  </si>
  <si>
    <t>Equilibrium output gap (open economy)</t>
  </si>
  <si>
    <t>Phillips Curve (Inverse Short Run Supply Function, open economy)</t>
  </si>
  <si>
    <t xml:space="preserve">Nominal Interest Rate (Taylor Rule, open economy) </t>
  </si>
  <si>
    <t>Real Interest Rate (RR) schedule, open economy</t>
  </si>
  <si>
    <t>IS Curve (open economy)</t>
  </si>
  <si>
    <t xml:space="preserve">(f) External terms of trade component </t>
  </si>
  <si>
    <t xml:space="preserve">Output gap (a)-(b)+(c)+(d)+(e)+(f) </t>
  </si>
  <si>
    <t xml:space="preserve">  Net Exports</t>
  </si>
  <si>
    <t xml:space="preserve">     Exports</t>
  </si>
  <si>
    <t xml:space="preserve">     Imports</t>
  </si>
  <si>
    <r>
      <t>Net Exports (NX/Y</t>
    </r>
    <r>
      <rPr>
        <vertAlign val="super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</si>
  <si>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t>RER</t>
  </si>
  <si>
    <t>Baseline Real Exchange Rate</t>
  </si>
  <si>
    <t>inc</t>
  </si>
  <si>
    <t>Real price of imports (deviation from norm)</t>
  </si>
  <si>
    <t>Real price of exports (deviation from norm)</t>
  </si>
  <si>
    <t>Real exchange rate (deviation from norm)</t>
  </si>
  <si>
    <t xml:space="preserve">   (appreciaton - )</t>
  </si>
  <si>
    <t>Real exchange rate index</t>
  </si>
  <si>
    <t xml:space="preserve">   (Base = 100, app - )</t>
  </si>
  <si>
    <r>
      <t>Net Exports/Y</t>
    </r>
    <r>
      <rPr>
        <vertAlign val="superscript"/>
        <sz val="11"/>
        <color theme="1"/>
        <rFont val="Calibri"/>
        <family val="2"/>
        <scheme val="minor"/>
      </rPr>
      <t>P</t>
    </r>
  </si>
  <si>
    <r>
      <t>Net Exports/Y</t>
    </r>
    <r>
      <rPr>
        <vertAlign val="superscript"/>
        <sz val="11"/>
        <color theme="1"/>
        <rFont val="Calibri"/>
        <family val="2"/>
        <scheme val="minor"/>
      </rPr>
      <t xml:space="preserve">P  </t>
    </r>
    <r>
      <rPr>
        <sz val="11"/>
        <color theme="1"/>
        <rFont val="Calibri"/>
        <family val="2"/>
        <scheme val="minor"/>
      </rPr>
      <t>Baseline</t>
    </r>
  </si>
  <si>
    <t>NX gap</t>
  </si>
  <si>
    <t>Demand side decomposition of output gap (percent of potential)</t>
  </si>
  <si>
    <t>Output 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</si>
</sst>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NumberFormat="1" applyFont="1"/>
    <xf numFmtId="2" fontId="0" fillId="2" borderId="0" xfId="1" applyNumberFormat="1" applyFont="1" applyFill="1"/>
    <xf numFmtId="0" fontId="0" fillId="2" borderId="0" xfId="0" applyFill="1"/>
    <xf numFmtId="2" fontId="0" fillId="2" borderId="0" xfId="0" applyNumberFormat="1" applyFill="1"/>
    <xf numFmtId="164" fontId="0" fillId="4" borderId="0" xfId="1" applyNumberFormat="1" applyFont="1" applyFill="1"/>
    <xf numFmtId="164" fontId="0" fillId="5" borderId="0" xfId="1" applyNumberFormat="1" applyFont="1" applyFill="1"/>
    <xf numFmtId="166" fontId="0" fillId="5" borderId="0" xfId="0" applyNumberFormat="1" applyFill="1"/>
    <xf numFmtId="164" fontId="0" fillId="3" borderId="0" xfId="0" applyNumberFormat="1" applyFill="1"/>
    <xf numFmtId="164" fontId="2" fillId="3" borderId="0" xfId="0" applyNumberFormat="1" applyFont="1" applyFill="1"/>
    <xf numFmtId="165" fontId="2" fillId="0" borderId="0" xfId="0" applyNumberFormat="1" applyFont="1" applyAlignment="1">
      <alignment horizontal="center"/>
    </xf>
    <xf numFmtId="2" fontId="2" fillId="3" borderId="0" xfId="1" applyNumberFormat="1" applyFont="1" applyFill="1"/>
    <xf numFmtId="2" fontId="0" fillId="0" borderId="0" xfId="1" applyNumberFormat="1" applyFont="1"/>
    <xf numFmtId="10" fontId="0" fillId="0" borderId="0" xfId="0" applyNumberFormat="1"/>
    <xf numFmtId="164" fontId="0" fillId="0" borderId="0" xfId="0" applyNumberFormat="1"/>
    <xf numFmtId="164" fontId="2" fillId="0" borderId="0" xfId="1" applyNumberFormat="1" applyFont="1"/>
    <xf numFmtId="0" fontId="0" fillId="5" borderId="0" xfId="0" applyFill="1"/>
    <xf numFmtId="0" fontId="0" fillId="6" borderId="0" xfId="0" applyFill="1"/>
    <xf numFmtId="0" fontId="0" fillId="7" borderId="0" xfId="0" applyFill="1"/>
    <xf numFmtId="9" fontId="0" fillId="0" borderId="0" xfId="0" applyNumberFormat="1"/>
    <xf numFmtId="164" fontId="4" fillId="5" borderId="0" xfId="1" applyNumberFormat="1" applyFont="1" applyFill="1"/>
    <xf numFmtId="2" fontId="0" fillId="5" borderId="0" xfId="1" applyNumberFormat="1" applyFont="1" applyFill="1"/>
    <xf numFmtId="166" fontId="0" fillId="0" borderId="0" xfId="0" applyNumberFormat="1"/>
    <xf numFmtId="164" fontId="0" fillId="6" borderId="0" xfId="0" applyNumberFormat="1" applyFill="1"/>
    <xf numFmtId="2" fontId="6" fillId="2" borderId="0" xfId="0" applyNumberFormat="1" applyFont="1" applyFill="1"/>
    <xf numFmtId="0" fontId="0" fillId="0" borderId="0" xfId="0" applyFill="1"/>
    <xf numFmtId="2" fontId="0" fillId="0" borderId="0" xfId="0" applyNumberFormat="1"/>
    <xf numFmtId="10" fontId="0" fillId="3" borderId="0" xfId="1" applyNumberFormat="1" applyFont="1" applyFill="1"/>
    <xf numFmtId="10" fontId="0" fillId="0" borderId="0" xfId="1" applyNumberFormat="1" applyFont="1"/>
    <xf numFmtId="0" fontId="0" fillId="8" borderId="0" xfId="0" applyFill="1"/>
    <xf numFmtId="1" fontId="0" fillId="5" borderId="0" xfId="1" applyNumberFormat="1" applyFont="1" applyFill="1"/>
    <xf numFmtId="166" fontId="2" fillId="0" borderId="0" xfId="0" applyNumberFormat="1" applyFont="1"/>
    <xf numFmtId="166" fontId="2" fillId="3" borderId="0" xfId="0" applyNumberFormat="1" applyFont="1" applyFill="1"/>
    <xf numFmtId="164" fontId="2" fillId="3" borderId="0" xfId="1" applyNumberFormat="1" applyFont="1" applyFill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IS/RR Curve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ECONOMY'!$AK$7:$AK$27</c:f>
              <c:numCache>
                <c:formatCode>0.00%</c:formatCode>
                <c:ptCount val="21"/>
                <c:pt idx="0">
                  <c:v>-8.3928571428571463E-3</c:v>
                </c:pt>
                <c:pt idx="1">
                  <c:v>-5.553571428571432E-3</c:v>
                </c:pt>
                <c:pt idx="2">
                  <c:v>-2.7142857142857177E-3</c:v>
                </c:pt>
                <c:pt idx="3">
                  <c:v>1.2499999999999664E-4</c:v>
                </c:pt>
                <c:pt idx="4">
                  <c:v>2.964285714285711E-3</c:v>
                </c:pt>
                <c:pt idx="5">
                  <c:v>5.8035714285714253E-3</c:v>
                </c:pt>
                <c:pt idx="6">
                  <c:v>8.6428571428571414E-3</c:v>
                </c:pt>
                <c:pt idx="7">
                  <c:v>1.1482142857142857E-2</c:v>
                </c:pt>
                <c:pt idx="8">
                  <c:v>1.4321428571428572E-2</c:v>
                </c:pt>
                <c:pt idx="9">
                  <c:v>1.7160714285714286E-2</c:v>
                </c:pt>
                <c:pt idx="10" formatCode="0.0%">
                  <c:v>0.02</c:v>
                </c:pt>
                <c:pt idx="11">
                  <c:v>2.2839285714285715E-2</c:v>
                </c:pt>
                <c:pt idx="12">
                  <c:v>2.5678571428571429E-2</c:v>
                </c:pt>
                <c:pt idx="13">
                  <c:v>2.8517857142857143E-2</c:v>
                </c:pt>
                <c:pt idx="14">
                  <c:v>3.1357142857142861E-2</c:v>
                </c:pt>
                <c:pt idx="15">
                  <c:v>3.4196428571428572E-2</c:v>
                </c:pt>
                <c:pt idx="16">
                  <c:v>3.703571428571429E-2</c:v>
                </c:pt>
                <c:pt idx="17">
                  <c:v>3.9875000000000008E-2</c:v>
                </c:pt>
                <c:pt idx="18">
                  <c:v>4.2714285714285719E-2</c:v>
                </c:pt>
                <c:pt idx="19">
                  <c:v>4.5553571428571429E-2</c:v>
                </c:pt>
                <c:pt idx="20">
                  <c:v>4.8392857142857147E-2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ECONOMY'!$AM$7:$AM$27</c:f>
              <c:numCache>
                <c:formatCode>0.00%</c:formatCode>
                <c:ptCount val="21"/>
                <c:pt idx="0">
                  <c:v>-1.9135714285714287E-2</c:v>
                </c:pt>
                <c:pt idx="1">
                  <c:v>-1.6296428571428569E-2</c:v>
                </c:pt>
                <c:pt idx="2">
                  <c:v>-1.3457142857142858E-2</c:v>
                </c:pt>
                <c:pt idx="3">
                  <c:v>-1.0617857142857144E-2</c:v>
                </c:pt>
                <c:pt idx="4">
                  <c:v>-7.7785714285714298E-3</c:v>
                </c:pt>
                <c:pt idx="5">
                  <c:v>-4.9392857142857155E-3</c:v>
                </c:pt>
                <c:pt idx="6">
                  <c:v>-2.1000000000000012E-3</c:v>
                </c:pt>
                <c:pt idx="7">
                  <c:v>7.3928571428571316E-4</c:v>
                </c:pt>
                <c:pt idx="8">
                  <c:v>3.5785714285714275E-3</c:v>
                </c:pt>
                <c:pt idx="9">
                  <c:v>6.4178571428571418E-3</c:v>
                </c:pt>
                <c:pt idx="10" formatCode="0.0%">
                  <c:v>9.2571428571428579E-3</c:v>
                </c:pt>
                <c:pt idx="11">
                  <c:v>1.2096428571428572E-2</c:v>
                </c:pt>
                <c:pt idx="12">
                  <c:v>1.4935714285714287E-2</c:v>
                </c:pt>
                <c:pt idx="13">
                  <c:v>1.7774999999999999E-2</c:v>
                </c:pt>
                <c:pt idx="14">
                  <c:v>2.0614285714285717E-2</c:v>
                </c:pt>
                <c:pt idx="15">
                  <c:v>2.3453571428571431E-2</c:v>
                </c:pt>
                <c:pt idx="16">
                  <c:v>2.6292857142857146E-2</c:v>
                </c:pt>
                <c:pt idx="17">
                  <c:v>2.913214285714286E-2</c:v>
                </c:pt>
                <c:pt idx="18">
                  <c:v>3.1971428571428574E-2</c:v>
                </c:pt>
                <c:pt idx="19">
                  <c:v>3.4810714285714292E-2</c:v>
                </c:pt>
                <c:pt idx="20">
                  <c:v>3.7650000000000003E-2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ECONOMY'!$AO$7:$AO$27</c:f>
              <c:numCache>
                <c:formatCode>0.00%</c:formatCode>
                <c:ptCount val="21"/>
                <c:pt idx="0">
                  <c:v>3.7214285714285734E-3</c:v>
                </c:pt>
                <c:pt idx="1">
                  <c:v>6.560714285714286E-3</c:v>
                </c:pt>
                <c:pt idx="2">
                  <c:v>9.3999999999999986E-3</c:v>
                </c:pt>
                <c:pt idx="3">
                  <c:v>1.2239285714285713E-2</c:v>
                </c:pt>
                <c:pt idx="4">
                  <c:v>1.5078571428571427E-2</c:v>
                </c:pt>
                <c:pt idx="5">
                  <c:v>1.7917857142857142E-2</c:v>
                </c:pt>
                <c:pt idx="6">
                  <c:v>2.0757142857142856E-2</c:v>
                </c:pt>
                <c:pt idx="7">
                  <c:v>2.3596428571428574E-2</c:v>
                </c:pt>
                <c:pt idx="8">
                  <c:v>2.6435714285714288E-2</c:v>
                </c:pt>
                <c:pt idx="9">
                  <c:v>2.9275000000000002E-2</c:v>
                </c:pt>
                <c:pt idx="10" formatCode="0.0%">
                  <c:v>3.211428571428572E-2</c:v>
                </c:pt>
                <c:pt idx="11">
                  <c:v>3.4953571428571431E-2</c:v>
                </c:pt>
                <c:pt idx="12">
                  <c:v>3.7792857142857142E-2</c:v>
                </c:pt>
                <c:pt idx="13">
                  <c:v>4.063214285714286E-2</c:v>
                </c:pt>
                <c:pt idx="14">
                  <c:v>4.3471428571428578E-2</c:v>
                </c:pt>
                <c:pt idx="15">
                  <c:v>4.6310714285714288E-2</c:v>
                </c:pt>
                <c:pt idx="16">
                  <c:v>4.9150000000000006E-2</c:v>
                </c:pt>
                <c:pt idx="17">
                  <c:v>5.1989285714285724E-2</c:v>
                </c:pt>
                <c:pt idx="18">
                  <c:v>5.4828571428571435E-2</c:v>
                </c:pt>
                <c:pt idx="19">
                  <c:v>5.7667857142857146E-2</c:v>
                </c:pt>
                <c:pt idx="20">
                  <c:v>6.050714285714287E-2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ECONOMY'!$AR$7:$AR$27</c:f>
              <c:numCache>
                <c:formatCode>0.0%</c:formatCode>
                <c:ptCount val="21"/>
                <c:pt idx="0">
                  <c:v>8.0714285714285711E-2</c:v>
                </c:pt>
                <c:pt idx="1">
                  <c:v>7.464285714285715E-2</c:v>
                </c:pt>
                <c:pt idx="2">
                  <c:v>6.8571428571428575E-2</c:v>
                </c:pt>
                <c:pt idx="3">
                  <c:v>6.2500000000000014E-2</c:v>
                </c:pt>
                <c:pt idx="4">
                  <c:v>5.6428571428571439E-2</c:v>
                </c:pt>
                <c:pt idx="5">
                  <c:v>5.0357142857142864E-2</c:v>
                </c:pt>
                <c:pt idx="6">
                  <c:v>4.4285714285714289E-2</c:v>
                </c:pt>
                <c:pt idx="7">
                  <c:v>3.8214285714285715E-2</c:v>
                </c:pt>
                <c:pt idx="8">
                  <c:v>3.2142857142857147E-2</c:v>
                </c:pt>
                <c:pt idx="9">
                  <c:v>2.6071428571428572E-2</c:v>
                </c:pt>
                <c:pt idx="10">
                  <c:v>0.02</c:v>
                </c:pt>
                <c:pt idx="11">
                  <c:v>1.3928571428571429E-2</c:v>
                </c:pt>
                <c:pt idx="12">
                  <c:v>7.8571428571428559E-3</c:v>
                </c:pt>
                <c:pt idx="13">
                  <c:v>1.7857142857142863E-3</c:v>
                </c:pt>
                <c:pt idx="14">
                  <c:v>-4.2857142857142885E-3</c:v>
                </c:pt>
                <c:pt idx="15">
                  <c:v>-1.035714285714286E-2</c:v>
                </c:pt>
                <c:pt idx="16">
                  <c:v>-1.6428571428571435E-2</c:v>
                </c:pt>
                <c:pt idx="17">
                  <c:v>-2.250000000000001E-2</c:v>
                </c:pt>
                <c:pt idx="18">
                  <c:v>-2.8571428571428577E-2</c:v>
                </c:pt>
                <c:pt idx="19">
                  <c:v>-3.4642857142857142E-2</c:v>
                </c:pt>
                <c:pt idx="20">
                  <c:v>-4.0714285714285717E-2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ECONOMY'!$AT$7:$AT$27</c:f>
              <c:numCache>
                <c:formatCode>0.0%</c:formatCode>
                <c:ptCount val="21"/>
                <c:pt idx="0">
                  <c:v>8.0714285714285711E-2</c:v>
                </c:pt>
                <c:pt idx="1">
                  <c:v>7.464285714285715E-2</c:v>
                </c:pt>
                <c:pt idx="2">
                  <c:v>6.8571428571428575E-2</c:v>
                </c:pt>
                <c:pt idx="3">
                  <c:v>6.2500000000000014E-2</c:v>
                </c:pt>
                <c:pt idx="4">
                  <c:v>5.6428571428571439E-2</c:v>
                </c:pt>
                <c:pt idx="5">
                  <c:v>5.0357142857142864E-2</c:v>
                </c:pt>
                <c:pt idx="6">
                  <c:v>4.4285714285714289E-2</c:v>
                </c:pt>
                <c:pt idx="7">
                  <c:v>3.8214285714285715E-2</c:v>
                </c:pt>
                <c:pt idx="8">
                  <c:v>3.2142857142857147E-2</c:v>
                </c:pt>
                <c:pt idx="9">
                  <c:v>2.6071428571428572E-2</c:v>
                </c:pt>
                <c:pt idx="10">
                  <c:v>0.02</c:v>
                </c:pt>
                <c:pt idx="11">
                  <c:v>1.3928571428571429E-2</c:v>
                </c:pt>
                <c:pt idx="12">
                  <c:v>7.8571428571428559E-3</c:v>
                </c:pt>
                <c:pt idx="13">
                  <c:v>1.7857142857142863E-3</c:v>
                </c:pt>
                <c:pt idx="14">
                  <c:v>-4.2857142857142885E-3</c:v>
                </c:pt>
                <c:pt idx="15">
                  <c:v>-1.035714285714286E-2</c:v>
                </c:pt>
                <c:pt idx="16">
                  <c:v>-1.6428571428571435E-2</c:v>
                </c:pt>
                <c:pt idx="17">
                  <c:v>-2.250000000000001E-2</c:v>
                </c:pt>
                <c:pt idx="18">
                  <c:v>-2.8571428571428577E-2</c:v>
                </c:pt>
                <c:pt idx="19">
                  <c:v>-3.4642857142857142E-2</c:v>
                </c:pt>
                <c:pt idx="20">
                  <c:v>-4.0714285714285717E-2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ECONOMY'!$AV$7:$AV$27</c:f>
              <c:numCache>
                <c:formatCode>0.0%</c:formatCode>
                <c:ptCount val="21"/>
                <c:pt idx="0">
                  <c:v>0.12271428571428572</c:v>
                </c:pt>
                <c:pt idx="1">
                  <c:v>0.11664285714285716</c:v>
                </c:pt>
                <c:pt idx="2">
                  <c:v>0.11057142857142857</c:v>
                </c:pt>
                <c:pt idx="3">
                  <c:v>0.10450000000000001</c:v>
                </c:pt>
                <c:pt idx="4">
                  <c:v>9.8428571428571449E-2</c:v>
                </c:pt>
                <c:pt idx="5">
                  <c:v>9.235714285714286E-2</c:v>
                </c:pt>
                <c:pt idx="6">
                  <c:v>8.6285714285714299E-2</c:v>
                </c:pt>
                <c:pt idx="7">
                  <c:v>8.021428571428571E-2</c:v>
                </c:pt>
                <c:pt idx="8">
                  <c:v>7.4142857142857149E-2</c:v>
                </c:pt>
                <c:pt idx="9">
                  <c:v>6.8071428571428574E-2</c:v>
                </c:pt>
                <c:pt idx="10">
                  <c:v>6.2E-2</c:v>
                </c:pt>
                <c:pt idx="11">
                  <c:v>5.5928571428571432E-2</c:v>
                </c:pt>
                <c:pt idx="12">
                  <c:v>4.9857142857142857E-2</c:v>
                </c:pt>
                <c:pt idx="13">
                  <c:v>4.3785714285714289E-2</c:v>
                </c:pt>
                <c:pt idx="14">
                  <c:v>3.7714285714285714E-2</c:v>
                </c:pt>
                <c:pt idx="15">
                  <c:v>3.1642857142857139E-2</c:v>
                </c:pt>
                <c:pt idx="16">
                  <c:v>2.5571428571428568E-2</c:v>
                </c:pt>
                <c:pt idx="17">
                  <c:v>1.9499999999999993E-2</c:v>
                </c:pt>
                <c:pt idx="18">
                  <c:v>1.3428571428571425E-2</c:v>
                </c:pt>
                <c:pt idx="19">
                  <c:v>7.3571428571428607E-3</c:v>
                </c:pt>
                <c:pt idx="20">
                  <c:v>1.2857142857142859E-3</c:v>
                </c:pt>
              </c:numCache>
            </c:numRef>
          </c:yVal>
          <c:smooth val="0"/>
        </c:ser>
        <c:ser>
          <c:idx val="6"/>
          <c:order val="6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ECONOMY'!$AK$33:$AK$34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ECONOMY'!$AL$33:$AL$34</c:f>
              <c:numCache>
                <c:formatCode>0.0%</c:formatCode>
                <c:ptCount val="2"/>
                <c:pt idx="0">
                  <c:v>-0.1</c:v>
                </c:pt>
                <c:pt idx="1">
                  <c:v>0.02</c:v>
                </c:pt>
              </c:numCache>
            </c:numRef>
          </c:yVal>
          <c:smooth val="0"/>
        </c:ser>
        <c:ser>
          <c:idx val="7"/>
          <c:order val="7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ECONOMY'!$AK$37:$AK$38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0</c:v>
                </c:pt>
              </c:numCache>
            </c:numRef>
          </c:xVal>
          <c:yVal>
            <c:numRef>
              <c:f>'MAIN OPEN ECONOMY'!$AL$37:$AL$38</c:f>
              <c:numCache>
                <c:formatCode>0.0%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8"/>
          <c:order val="8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ECONOMY'!$AK$42:$AK$43</c:f>
              <c:numCache>
                <c:formatCode>0.0%</c:formatCode>
                <c:ptCount val="2"/>
                <c:pt idx="0">
                  <c:v>-6.028056112224448E-3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ECONOMY'!$AL$42:$AL$43</c:f>
              <c:numCache>
                <c:formatCode>0.0%</c:formatCode>
                <c:ptCount val="2"/>
                <c:pt idx="0">
                  <c:v>-0.1</c:v>
                </c:pt>
                <c:pt idx="1">
                  <c:v>1.2680217578013169E-2</c:v>
                </c:pt>
              </c:numCache>
            </c:numRef>
          </c:yVal>
          <c:smooth val="0"/>
        </c:ser>
        <c:ser>
          <c:idx val="9"/>
          <c:order val="9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ECONOMY'!$AK$46:$AK$47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ECONOMY'!$AL$46:$AL$47</c:f>
              <c:numCache>
                <c:formatCode>0.0%</c:formatCode>
                <c:ptCount val="2"/>
                <c:pt idx="0">
                  <c:v>1.2680217578013169E-2</c:v>
                </c:pt>
                <c:pt idx="1">
                  <c:v>1.2680217578013169E-2</c:v>
                </c:pt>
              </c:numCache>
            </c:numRef>
          </c:yVal>
          <c:smooth val="0"/>
        </c:ser>
        <c:ser>
          <c:idx val="10"/>
          <c:order val="10"/>
          <c:spPr>
            <a:ln w="12700" cap="rnd">
              <a:solidFill>
                <a:schemeClr val="accent5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ECONOMY'!$AK$51:$AK$52</c:f>
              <c:numCache>
                <c:formatCode>0.0%</c:formatCode>
                <c:ptCount val="2"/>
                <c:pt idx="0">
                  <c:v>-1.6769539078156308E-2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ECONOMY'!$AL$51:$AL$52</c:f>
              <c:numCache>
                <c:formatCode>0.0%</c:formatCode>
                <c:ptCount val="2"/>
                <c:pt idx="0">
                  <c:v>-0.1</c:v>
                </c:pt>
                <c:pt idx="1">
                  <c:v>4.1636988262238772E-2</c:v>
                </c:pt>
              </c:numCache>
            </c:numRef>
          </c:yVal>
          <c:smooth val="0"/>
        </c:ser>
        <c:ser>
          <c:idx val="11"/>
          <c:order val="11"/>
          <c:spPr>
            <a:ln w="12700" cap="rnd">
              <a:solidFill>
                <a:schemeClr val="accent6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ECONOMY'!$AK$55:$AK$56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ECONOMY'!$AL$55:$AL$56</c:f>
              <c:numCache>
                <c:formatCode>0.0%</c:formatCode>
                <c:ptCount val="2"/>
                <c:pt idx="0">
                  <c:v>4.1636988262238772E-2</c:v>
                </c:pt>
                <c:pt idx="1">
                  <c:v>4.1636988262238772E-2</c:v>
                </c:pt>
              </c:numCache>
            </c:numRef>
          </c:yVal>
          <c:smooth val="0"/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ECONOMY'!$AM$33:$AM$34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ECONOMY'!$AN$33:$AN$34</c:f>
              <c:numCache>
                <c:formatCode>0.00%</c:formatCode>
                <c:ptCount val="2"/>
                <c:pt idx="0" formatCode="0.0%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'MAIN OPEN ECONOMY'!$AM$31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397766048227243E-2"/>
                  <c:y val="2.771280946425177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ECONOMY'!$AM$33:$AM$34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ECONOMY'!$AN$33:$AN$34</c:f>
              <c:numCache>
                <c:formatCode>0.00%</c:formatCode>
                <c:ptCount val="2"/>
                <c:pt idx="0" formatCode="0.0%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'MAIN OPEN ECONOMY'!$AM$40</c:f>
              <c:strCache>
                <c:ptCount val="1"/>
                <c:pt idx="0">
                  <c:v>(i)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669142737088272E-2"/>
                  <c:y val="-2.771280946425177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ECONOMY'!$AM$42:$AM$43</c:f>
              <c:numCache>
                <c:formatCode>0.0%</c:formatCode>
                <c:ptCount val="2"/>
                <c:pt idx="0">
                  <c:v>-6.028056112224448E-3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ECONOMY'!$AN$42:$AN$43</c:f>
              <c:numCache>
                <c:formatCode>0.0%</c:formatCode>
                <c:ptCount val="2"/>
                <c:pt idx="0">
                  <c:v>1.2680217578013169E-2</c:v>
                </c:pt>
                <c:pt idx="1">
                  <c:v>1.2680217578013169E-2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'MAIN OPEN ECONOMY'!$AM$49</c:f>
              <c:strCache>
                <c:ptCount val="1"/>
                <c:pt idx="0">
                  <c:v>(ii)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728623311139015E-2"/>
                  <c:y val="-8.467705072203167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ECONOMY'!$AM$51:$AM$52</c:f>
              <c:numCache>
                <c:formatCode>0.0%</c:formatCode>
                <c:ptCount val="2"/>
                <c:pt idx="0">
                  <c:v>-1.6769539078156308E-2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ECONOMY'!$AN$51:$AN$52</c:f>
              <c:numCache>
                <c:formatCode>0.0%</c:formatCode>
                <c:ptCount val="2"/>
                <c:pt idx="0">
                  <c:v>4.1636988262238772E-2</c:v>
                </c:pt>
                <c:pt idx="1">
                  <c:v>4.1636988262238772E-2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212656"/>
        <c:axId val="336212264"/>
      </c:scatterChart>
      <c:valAx>
        <c:axId val="336212656"/>
        <c:scaling>
          <c:orientation val="minMax"/>
          <c:max val="5.0000000000000024E-2"/>
          <c:min val="-5.0000000000000024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Output gap (in percent)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212264"/>
        <c:crossesAt val="-6.0000000000000032E-2"/>
        <c:crossBetween val="midCat"/>
      </c:valAx>
      <c:valAx>
        <c:axId val="336212264"/>
        <c:scaling>
          <c:orientation val="minMax"/>
          <c:max val="6.0000000000000032E-2"/>
          <c:min val="-2.0000000000000011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Real interest rate (in percent)</a:t>
                </a:r>
              </a:p>
            </c:rich>
          </c:tx>
          <c:layout/>
          <c:overlay val="0"/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212656"/>
        <c:crossesAt val="-6.000000000000003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Phillips Curve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ECONOMY'!$AZ$7:$AZ$27</c:f>
              <c:numCache>
                <c:formatCode>0.0%</c:formatCode>
                <c:ptCount val="21"/>
                <c:pt idx="0">
                  <c:v>0.10142857142857142</c:v>
                </c:pt>
                <c:pt idx="1">
                  <c:v>9.4285714285714278E-2</c:v>
                </c:pt>
                <c:pt idx="2">
                  <c:v>8.7142857142857147E-2</c:v>
                </c:pt>
                <c:pt idx="3">
                  <c:v>0.08</c:v>
                </c:pt>
                <c:pt idx="4">
                  <c:v>7.285714285714287E-2</c:v>
                </c:pt>
                <c:pt idx="5">
                  <c:v>6.5714285714285725E-2</c:v>
                </c:pt>
                <c:pt idx="6">
                  <c:v>5.8571428571428573E-2</c:v>
                </c:pt>
                <c:pt idx="7">
                  <c:v>5.1428571428571428E-2</c:v>
                </c:pt>
                <c:pt idx="8">
                  <c:v>4.4285714285714289E-2</c:v>
                </c:pt>
                <c:pt idx="9">
                  <c:v>3.7142857142857144E-2</c:v>
                </c:pt>
                <c:pt idx="10">
                  <c:v>0.03</c:v>
                </c:pt>
                <c:pt idx="11">
                  <c:v>2.2857142857142854E-2</c:v>
                </c:pt>
                <c:pt idx="12">
                  <c:v>1.5714285714285712E-2</c:v>
                </c:pt>
                <c:pt idx="13">
                  <c:v>8.5714285714285701E-3</c:v>
                </c:pt>
                <c:pt idx="14">
                  <c:v>1.4285714285714249E-3</c:v>
                </c:pt>
                <c:pt idx="15">
                  <c:v>-5.7142857142857204E-3</c:v>
                </c:pt>
                <c:pt idx="16">
                  <c:v>-1.2857142857142866E-2</c:v>
                </c:pt>
                <c:pt idx="17">
                  <c:v>-2.0000000000000004E-2</c:v>
                </c:pt>
                <c:pt idx="18">
                  <c:v>-2.7142857142857149E-2</c:v>
                </c:pt>
                <c:pt idx="19">
                  <c:v>-3.428571428571428E-2</c:v>
                </c:pt>
                <c:pt idx="20">
                  <c:v>-4.1428571428571426E-2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ECONOMY'!$BB$7:$BB$27</c:f>
              <c:numCache>
                <c:formatCode>0.0%</c:formatCode>
                <c:ptCount val="21"/>
                <c:pt idx="0">
                  <c:v>0.10142857142857142</c:v>
                </c:pt>
                <c:pt idx="1">
                  <c:v>9.4285714285714278E-2</c:v>
                </c:pt>
                <c:pt idx="2">
                  <c:v>8.7142857142857147E-2</c:v>
                </c:pt>
                <c:pt idx="3">
                  <c:v>0.08</c:v>
                </c:pt>
                <c:pt idx="4">
                  <c:v>7.285714285714287E-2</c:v>
                </c:pt>
                <c:pt idx="5">
                  <c:v>6.5714285714285725E-2</c:v>
                </c:pt>
                <c:pt idx="6">
                  <c:v>5.8571428571428573E-2</c:v>
                </c:pt>
                <c:pt idx="7">
                  <c:v>5.1428571428571428E-2</c:v>
                </c:pt>
                <c:pt idx="8">
                  <c:v>4.4285714285714289E-2</c:v>
                </c:pt>
                <c:pt idx="9">
                  <c:v>3.7142857142857144E-2</c:v>
                </c:pt>
                <c:pt idx="10">
                  <c:v>0.03</c:v>
                </c:pt>
                <c:pt idx="11">
                  <c:v>2.2857142857142854E-2</c:v>
                </c:pt>
                <c:pt idx="12">
                  <c:v>1.5714285714285712E-2</c:v>
                </c:pt>
                <c:pt idx="13">
                  <c:v>8.5714285714285701E-3</c:v>
                </c:pt>
                <c:pt idx="14">
                  <c:v>1.4285714285714249E-3</c:v>
                </c:pt>
                <c:pt idx="15">
                  <c:v>-5.7142857142857204E-3</c:v>
                </c:pt>
                <c:pt idx="16">
                  <c:v>-1.2857142857142866E-2</c:v>
                </c:pt>
                <c:pt idx="17">
                  <c:v>-2.0000000000000004E-2</c:v>
                </c:pt>
                <c:pt idx="18">
                  <c:v>-2.7142857142857149E-2</c:v>
                </c:pt>
                <c:pt idx="19">
                  <c:v>-3.428571428571428E-2</c:v>
                </c:pt>
                <c:pt idx="20">
                  <c:v>-4.1428571428571426E-2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ECONOMY'!$BD$7:$BD$27</c:f>
              <c:numCache>
                <c:formatCode>0.0%</c:formatCode>
                <c:ptCount val="21"/>
                <c:pt idx="0">
                  <c:v>0.10542857142857143</c:v>
                </c:pt>
                <c:pt idx="1">
                  <c:v>9.8285714285714282E-2</c:v>
                </c:pt>
                <c:pt idx="2">
                  <c:v>9.114285714285715E-2</c:v>
                </c:pt>
                <c:pt idx="3">
                  <c:v>8.4000000000000005E-2</c:v>
                </c:pt>
                <c:pt idx="4">
                  <c:v>7.6857142857142874E-2</c:v>
                </c:pt>
                <c:pt idx="5">
                  <c:v>6.9714285714285729E-2</c:v>
                </c:pt>
                <c:pt idx="6">
                  <c:v>6.257142857142857E-2</c:v>
                </c:pt>
                <c:pt idx="7">
                  <c:v>5.5428571428571424E-2</c:v>
                </c:pt>
                <c:pt idx="8">
                  <c:v>4.8285714285714293E-2</c:v>
                </c:pt>
                <c:pt idx="9">
                  <c:v>4.1142857142857148E-2</c:v>
                </c:pt>
                <c:pt idx="10">
                  <c:v>3.4000000000000002E-2</c:v>
                </c:pt>
                <c:pt idx="11">
                  <c:v>2.6857142857142854E-2</c:v>
                </c:pt>
                <c:pt idx="12">
                  <c:v>1.9714285714285712E-2</c:v>
                </c:pt>
                <c:pt idx="13">
                  <c:v>1.257142857142857E-2</c:v>
                </c:pt>
                <c:pt idx="14">
                  <c:v>5.428571428571425E-3</c:v>
                </c:pt>
                <c:pt idx="15">
                  <c:v>-1.7142857142857203E-3</c:v>
                </c:pt>
                <c:pt idx="16">
                  <c:v>-8.8571428571428655E-3</c:v>
                </c:pt>
                <c:pt idx="17">
                  <c:v>-1.6000000000000004E-2</c:v>
                </c:pt>
                <c:pt idx="18">
                  <c:v>-2.3142857142857149E-2</c:v>
                </c:pt>
                <c:pt idx="19">
                  <c:v>-3.028571428571428E-2</c:v>
                </c:pt>
                <c:pt idx="20">
                  <c:v>-3.7428571428571422E-2</c:v>
                </c:pt>
              </c:numCache>
            </c:numRef>
          </c:yVal>
          <c:smooth val="0"/>
        </c:ser>
        <c:ser>
          <c:idx val="3"/>
          <c:order val="3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ECONOMY'!$BA$33:$BA$34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ECONOMY'!$BB$33:$BB$34</c:f>
              <c:numCache>
                <c:formatCode>0.0%</c:formatCode>
                <c:ptCount val="2"/>
                <c:pt idx="0">
                  <c:v>-0.1</c:v>
                </c:pt>
                <c:pt idx="1">
                  <c:v>0.03</c:v>
                </c:pt>
              </c:numCache>
            </c:numRef>
          </c:yVal>
          <c:smooth val="0"/>
        </c:ser>
        <c:ser>
          <c:idx val="4"/>
          <c:order val="4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ECONOMY'!$BA$37:$BA$38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0</c:v>
                </c:pt>
              </c:numCache>
            </c:numRef>
          </c:xVal>
          <c:yVal>
            <c:numRef>
              <c:f>'MAIN OPEN ECONOMY'!$BB$37:$BB$38</c:f>
              <c:numCache>
                <c:formatCode>0.0%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12700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xVal>
            <c:numRef>
              <c:f>'MAIN OPEN ECONOMY'!$BA$42:$BA$43</c:f>
              <c:numCache>
                <c:formatCode>0.0%</c:formatCode>
                <c:ptCount val="2"/>
                <c:pt idx="0">
                  <c:v>-6.028056112224448E-3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ECONOMY'!$BB$42:$BB$43</c:f>
              <c:numCache>
                <c:formatCode>0.0%</c:formatCode>
                <c:ptCount val="2"/>
                <c:pt idx="0">
                  <c:v>-0.1</c:v>
                </c:pt>
                <c:pt idx="1">
                  <c:v>2.1388491268250785E-2</c:v>
                </c:pt>
              </c:numCache>
            </c:numRef>
          </c:yVal>
          <c:smooth val="0"/>
        </c:ser>
        <c:ser>
          <c:idx val="6"/>
          <c:order val="6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ECONOMY'!$BA$46:$BA$47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ECONOMY'!$BB$46:$BB$47</c:f>
              <c:numCache>
                <c:formatCode>0.0%</c:formatCode>
                <c:ptCount val="2"/>
                <c:pt idx="0">
                  <c:v>2.1388491268250785E-2</c:v>
                </c:pt>
                <c:pt idx="1">
                  <c:v>2.1388491268250785E-2</c:v>
                </c:pt>
              </c:numCache>
            </c:numRef>
          </c:yVal>
          <c:smooth val="0"/>
        </c:ser>
        <c:ser>
          <c:idx val="7"/>
          <c:order val="7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ECONOMY'!$BA$51:$BA$52</c:f>
              <c:numCache>
                <c:formatCode>0.0%</c:formatCode>
                <c:ptCount val="2"/>
                <c:pt idx="0">
                  <c:v>-1.6769539078156308E-2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ECONOMY'!$BB$51:$BB$52</c:f>
              <c:numCache>
                <c:formatCode>0.0%</c:formatCode>
                <c:ptCount val="2"/>
                <c:pt idx="0">
                  <c:v>-0.1</c:v>
                </c:pt>
                <c:pt idx="1">
                  <c:v>1.0043515602633845E-2</c:v>
                </c:pt>
              </c:numCache>
            </c:numRef>
          </c:yVal>
          <c:smooth val="0"/>
        </c:ser>
        <c:ser>
          <c:idx val="8"/>
          <c:order val="8"/>
          <c:spPr>
            <a:ln w="12700" cap="rnd">
              <a:solidFill>
                <a:schemeClr val="accent3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ECONOMY'!$BA$55:$BA$56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ECONOMY'!$BB$55:$BB$56</c:f>
              <c:numCache>
                <c:formatCode>0.0%</c:formatCode>
                <c:ptCount val="2"/>
                <c:pt idx="0">
                  <c:v>1.0043515602633845E-2</c:v>
                </c:pt>
                <c:pt idx="1">
                  <c:v>1.0043515602633845E-2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'MAIN OPEN ECONOMY'!$BC$31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00000000000112E-2"/>
                  <c:y val="4.499437570303713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ECONOMY'!$BC$33:$BC$34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ECONOMY'!$BD$33:$BD$34</c:f>
              <c:numCache>
                <c:formatCode>0.00%</c:formatCode>
                <c:ptCount val="2"/>
                <c:pt idx="0" formatCode="0.0%">
                  <c:v>0.03</c:v>
                </c:pt>
                <c:pt idx="1">
                  <c:v>0.03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'MAIN OPEN ECONOMY'!$BC$40</c:f>
              <c:strCache>
                <c:ptCount val="1"/>
                <c:pt idx="0">
                  <c:v>(i)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444444444444545E-2"/>
                  <c:y val="1.799766900613248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ECONOMY'!$BC$42:$BC$43</c:f>
              <c:numCache>
                <c:formatCode>0.0%</c:formatCode>
                <c:ptCount val="2"/>
                <c:pt idx="0">
                  <c:v>-6.028056112224448E-3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ECONOMY'!$BD$42:$BD$43</c:f>
              <c:numCache>
                <c:formatCode>0.0%</c:formatCode>
                <c:ptCount val="2"/>
                <c:pt idx="0">
                  <c:v>2.1388491268250785E-2</c:v>
                </c:pt>
                <c:pt idx="1">
                  <c:v>2.1388491268250785E-2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'MAIN OPEN ECONOMY'!$BC$49</c:f>
              <c:strCache>
                <c:ptCount val="1"/>
                <c:pt idx="0">
                  <c:v>(ii)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782E-2"/>
                  <c:y val="-5.16166277562550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ECONOMY'!$BC$51:$BC$52</c:f>
              <c:numCache>
                <c:formatCode>0.0%</c:formatCode>
                <c:ptCount val="2"/>
                <c:pt idx="0">
                  <c:v>-1.6769539078156308E-2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ECONOMY'!$BD$51:$BD$52</c:f>
              <c:numCache>
                <c:formatCode>0.0%</c:formatCode>
                <c:ptCount val="2"/>
                <c:pt idx="0">
                  <c:v>1.0043515602633845E-2</c:v>
                </c:pt>
                <c:pt idx="1">
                  <c:v>1.0043515602633845E-2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6210304"/>
        <c:axId val="336210696"/>
      </c:scatterChart>
      <c:valAx>
        <c:axId val="336210304"/>
        <c:scaling>
          <c:orientation val="minMax"/>
          <c:max val="5.0000000000000024E-2"/>
          <c:min val="-5.0000000000000024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Output gap (in percent)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210696"/>
        <c:crossesAt val="-6.0000000000000032E-2"/>
        <c:crossBetween val="midCat"/>
      </c:valAx>
      <c:valAx>
        <c:axId val="336210696"/>
        <c:scaling>
          <c:orientation val="minMax"/>
          <c:max val="9.0000000000000024E-2"/>
          <c:min val="-2.0000000000000011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Inflation rate (in percent)</a:t>
                </a:r>
              </a:p>
            </c:rich>
          </c:tx>
          <c:layout/>
          <c:overlay val="0"/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6210304"/>
        <c:crossesAt val="-6.000000000000003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Exports and Real Exchange Rate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75371712199144"/>
          <c:y val="0.17206698237405921"/>
          <c:w val="0.78663604441325108"/>
          <c:h val="0.6219383274716572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ECONOMY'!$BI$7:$BI$27</c:f>
              <c:numCache>
                <c:formatCode>0.0%</c:formatCode>
                <c:ptCount val="21"/>
                <c:pt idx="0">
                  <c:v>5.8769248489774301E-2</c:v>
                </c:pt>
                <c:pt idx="1">
                  <c:v>5.4585606173194016E-2</c:v>
                </c:pt>
                <c:pt idx="2">
                  <c:v>5.0422777997492486E-2</c:v>
                </c:pt>
                <c:pt idx="3">
                  <c:v>4.6280660409729626E-2</c:v>
                </c:pt>
                <c:pt idx="4">
                  <c:v>4.2159150372154654E-2</c:v>
                </c:pt>
                <c:pt idx="5">
                  <c:v>3.805814535964229E-2</c:v>
                </c:pt>
                <c:pt idx="6">
                  <c:v>3.3977543357142453E-2</c:v>
                </c:pt>
                <c:pt idx="7">
                  <c:v>2.9917242857142499E-2</c:v>
                </c:pt>
                <c:pt idx="8">
                  <c:v>2.5877142857142578E-2</c:v>
                </c:pt>
                <c:pt idx="9">
                  <c:v>2.1857142857142707E-2</c:v>
                </c:pt>
                <c:pt idx="10">
                  <c:v>1.7857142857142794E-2</c:v>
                </c:pt>
                <c:pt idx="11">
                  <c:v>1.385714285714279E-2</c:v>
                </c:pt>
                <c:pt idx="12">
                  <c:v>9.8771428571427389E-3</c:v>
                </c:pt>
                <c:pt idx="13">
                  <c:v>5.9170428571428055E-3</c:v>
                </c:pt>
                <c:pt idx="14">
                  <c:v>1.9767433571427524E-3</c:v>
                </c:pt>
                <c:pt idx="15">
                  <c:v>-1.9438546453573145E-3</c:v>
                </c:pt>
                <c:pt idx="16">
                  <c:v>-5.8448496578448889E-3</c:v>
                </c:pt>
                <c:pt idx="17">
                  <c:v>-9.7263396952698145E-3</c:v>
                </c:pt>
                <c:pt idx="18">
                  <c:v>-1.3588422282507832E-2</c:v>
                </c:pt>
                <c:pt idx="19">
                  <c:v>-1.7431194456809608E-2</c:v>
                </c:pt>
                <c:pt idx="20">
                  <c:v>-2.1254752770239804E-2</c:v>
                </c:pt>
              </c:numCache>
            </c:numRef>
          </c:xVal>
          <c:yVal>
            <c:numRef>
              <c:f>'MAIN OPEN ECONOMY'!$BG$7:$BG$27</c:f>
              <c:numCache>
                <c:formatCode>0.0</c:formatCode>
                <c:ptCount val="21"/>
                <c:pt idx="0">
                  <c:v>105.11401320407893</c:v>
                </c:pt>
                <c:pt idx="1">
                  <c:v>104.59105791450641</c:v>
                </c:pt>
                <c:pt idx="2">
                  <c:v>104.0707043925437</c:v>
                </c:pt>
                <c:pt idx="3">
                  <c:v>103.55293969407334</c:v>
                </c:pt>
                <c:pt idx="4">
                  <c:v>103.03775093937648</c:v>
                </c:pt>
                <c:pt idx="5">
                  <c:v>102.52512531281243</c:v>
                </c:pt>
                <c:pt idx="6">
                  <c:v>102.01505006249995</c:v>
                </c:pt>
                <c:pt idx="7">
                  <c:v>101.50751249999996</c:v>
                </c:pt>
                <c:pt idx="8">
                  <c:v>101.00249999999997</c:v>
                </c:pt>
                <c:pt idx="9">
                  <c:v>100.49999999999999</c:v>
                </c:pt>
                <c:pt idx="10">
                  <c:v>100</c:v>
                </c:pt>
                <c:pt idx="11">
                  <c:v>99.5</c:v>
                </c:pt>
                <c:pt idx="12">
                  <c:v>99.002499999999998</c:v>
                </c:pt>
                <c:pt idx="13">
                  <c:v>98.507487499999996</c:v>
                </c:pt>
                <c:pt idx="14">
                  <c:v>98.014950062499992</c:v>
                </c:pt>
                <c:pt idx="15">
                  <c:v>97.52487531218749</c:v>
                </c:pt>
                <c:pt idx="16">
                  <c:v>97.037250935626545</c:v>
                </c:pt>
                <c:pt idx="17">
                  <c:v>96.552064680948419</c:v>
                </c:pt>
                <c:pt idx="18">
                  <c:v>96.069304357543672</c:v>
                </c:pt>
                <c:pt idx="19">
                  <c:v>95.588957835755949</c:v>
                </c:pt>
                <c:pt idx="20">
                  <c:v>95.11101304657717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'MAIN OPEN ECONOMY'!$BK$7:$BK$27</c:f>
              <c:numCache>
                <c:formatCode>0.0%</c:formatCode>
                <c:ptCount val="21"/>
                <c:pt idx="0">
                  <c:v>4.4030651295385526E-2</c:v>
                </c:pt>
                <c:pt idx="1">
                  <c:v>3.9847008978805241E-2</c:v>
                </c:pt>
                <c:pt idx="2">
                  <c:v>3.5684180803103711E-2</c:v>
                </c:pt>
                <c:pt idx="3">
                  <c:v>3.1542063215340851E-2</c:v>
                </c:pt>
                <c:pt idx="4">
                  <c:v>2.7420553177765879E-2</c:v>
                </c:pt>
                <c:pt idx="5">
                  <c:v>2.3319548165253515E-2</c:v>
                </c:pt>
                <c:pt idx="6">
                  <c:v>1.9238946162753678E-2</c:v>
                </c:pt>
                <c:pt idx="7">
                  <c:v>1.5178645662753723E-2</c:v>
                </c:pt>
                <c:pt idx="8">
                  <c:v>1.1138545662753801E-2</c:v>
                </c:pt>
                <c:pt idx="9">
                  <c:v>7.1185456627539303E-3</c:v>
                </c:pt>
                <c:pt idx="10">
                  <c:v>3.1185456627540165E-3</c:v>
                </c:pt>
                <c:pt idx="11">
                  <c:v>-8.8145433724598704E-4</c:v>
                </c:pt>
                <c:pt idx="12">
                  <c:v>-4.8614543372460378E-3</c:v>
                </c:pt>
                <c:pt idx="13">
                  <c:v>-8.8215543372459713E-3</c:v>
                </c:pt>
                <c:pt idx="14">
                  <c:v>-1.2761853837246024E-2</c:v>
                </c:pt>
                <c:pt idx="15">
                  <c:v>-1.6682451839746093E-2</c:v>
                </c:pt>
                <c:pt idx="16">
                  <c:v>-2.0583446852233664E-2</c:v>
                </c:pt>
                <c:pt idx="17">
                  <c:v>-2.4464936889658589E-2</c:v>
                </c:pt>
                <c:pt idx="18">
                  <c:v>-2.8327019476896607E-2</c:v>
                </c:pt>
                <c:pt idx="19">
                  <c:v>-3.2169791651198383E-2</c:v>
                </c:pt>
                <c:pt idx="20">
                  <c:v>-3.5993349964628579E-2</c:v>
                </c:pt>
              </c:numCache>
            </c:numRef>
          </c:xVal>
          <c:yVal>
            <c:numRef>
              <c:f>'MAIN OPEN ECONOMY'!$BG$7:$BG$27</c:f>
              <c:numCache>
                <c:formatCode>0.0</c:formatCode>
                <c:ptCount val="21"/>
                <c:pt idx="0">
                  <c:v>105.11401320407893</c:v>
                </c:pt>
                <c:pt idx="1">
                  <c:v>104.59105791450641</c:v>
                </c:pt>
                <c:pt idx="2">
                  <c:v>104.0707043925437</c:v>
                </c:pt>
                <c:pt idx="3">
                  <c:v>103.55293969407334</c:v>
                </c:pt>
                <c:pt idx="4">
                  <c:v>103.03775093937648</c:v>
                </c:pt>
                <c:pt idx="5">
                  <c:v>102.52512531281243</c:v>
                </c:pt>
                <c:pt idx="6">
                  <c:v>102.01505006249995</c:v>
                </c:pt>
                <c:pt idx="7">
                  <c:v>101.50751249999996</c:v>
                </c:pt>
                <c:pt idx="8">
                  <c:v>101.00249999999997</c:v>
                </c:pt>
                <c:pt idx="9">
                  <c:v>100.49999999999999</c:v>
                </c:pt>
                <c:pt idx="10">
                  <c:v>100</c:v>
                </c:pt>
                <c:pt idx="11">
                  <c:v>99.5</c:v>
                </c:pt>
                <c:pt idx="12">
                  <c:v>99.002499999999998</c:v>
                </c:pt>
                <c:pt idx="13">
                  <c:v>98.507487499999996</c:v>
                </c:pt>
                <c:pt idx="14">
                  <c:v>98.014950062499992</c:v>
                </c:pt>
                <c:pt idx="15">
                  <c:v>97.52487531218749</c:v>
                </c:pt>
                <c:pt idx="16">
                  <c:v>97.037250935626545</c:v>
                </c:pt>
                <c:pt idx="17">
                  <c:v>96.552064680948419</c:v>
                </c:pt>
                <c:pt idx="18">
                  <c:v>96.069304357543672</c:v>
                </c:pt>
                <c:pt idx="19">
                  <c:v>95.588957835755949</c:v>
                </c:pt>
                <c:pt idx="20">
                  <c:v>95.11101304657717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'MAIN OPEN ECONOMY'!$BM$7:$BM$27</c:f>
              <c:numCache>
                <c:formatCode>0.0%</c:formatCode>
                <c:ptCount val="21"/>
                <c:pt idx="0">
                  <c:v>4.4567725443682121E-2</c:v>
                </c:pt>
                <c:pt idx="1">
                  <c:v>4.0384083127101837E-2</c:v>
                </c:pt>
                <c:pt idx="2">
                  <c:v>3.6221254951400307E-2</c:v>
                </c:pt>
                <c:pt idx="3">
                  <c:v>3.2079137363637447E-2</c:v>
                </c:pt>
                <c:pt idx="4">
                  <c:v>2.7957627326062471E-2</c:v>
                </c:pt>
                <c:pt idx="5">
                  <c:v>2.3856622313550107E-2</c:v>
                </c:pt>
                <c:pt idx="6">
                  <c:v>1.9776020311050271E-2</c:v>
                </c:pt>
                <c:pt idx="7">
                  <c:v>1.5715719811050317E-2</c:v>
                </c:pt>
                <c:pt idx="8">
                  <c:v>1.1675619811050393E-2</c:v>
                </c:pt>
                <c:pt idx="9">
                  <c:v>7.6556198110505225E-3</c:v>
                </c:pt>
                <c:pt idx="10">
                  <c:v>3.6556198110506096E-3</c:v>
                </c:pt>
                <c:pt idx="11">
                  <c:v>-3.4438018894939392E-4</c:v>
                </c:pt>
                <c:pt idx="12">
                  <c:v>-4.3243801889494456E-3</c:v>
                </c:pt>
                <c:pt idx="13">
                  <c:v>-8.284480188949379E-3</c:v>
                </c:pt>
                <c:pt idx="14">
                  <c:v>-1.2224779688949432E-2</c:v>
                </c:pt>
                <c:pt idx="15">
                  <c:v>-1.6145377691449501E-2</c:v>
                </c:pt>
                <c:pt idx="16">
                  <c:v>-2.0046372703937072E-2</c:v>
                </c:pt>
                <c:pt idx="17">
                  <c:v>-2.3927862741361997E-2</c:v>
                </c:pt>
                <c:pt idx="18">
                  <c:v>-2.7789945328600015E-2</c:v>
                </c:pt>
                <c:pt idx="19">
                  <c:v>-3.1632717502901787E-2</c:v>
                </c:pt>
                <c:pt idx="20">
                  <c:v>-3.5456275816331984E-2</c:v>
                </c:pt>
              </c:numCache>
            </c:numRef>
          </c:xVal>
          <c:yVal>
            <c:numRef>
              <c:f>'MAIN OPEN ECONOMY'!$BG$7:$BG$27</c:f>
              <c:numCache>
                <c:formatCode>0.0</c:formatCode>
                <c:ptCount val="21"/>
                <c:pt idx="0">
                  <c:v>105.11401320407893</c:v>
                </c:pt>
                <c:pt idx="1">
                  <c:v>104.59105791450641</c:v>
                </c:pt>
                <c:pt idx="2">
                  <c:v>104.0707043925437</c:v>
                </c:pt>
                <c:pt idx="3">
                  <c:v>103.55293969407334</c:v>
                </c:pt>
                <c:pt idx="4">
                  <c:v>103.03775093937648</c:v>
                </c:pt>
                <c:pt idx="5">
                  <c:v>102.52512531281243</c:v>
                </c:pt>
                <c:pt idx="6">
                  <c:v>102.01505006249995</c:v>
                </c:pt>
                <c:pt idx="7">
                  <c:v>101.50751249999996</c:v>
                </c:pt>
                <c:pt idx="8">
                  <c:v>101.00249999999997</c:v>
                </c:pt>
                <c:pt idx="9">
                  <c:v>100.49999999999999</c:v>
                </c:pt>
                <c:pt idx="10">
                  <c:v>100</c:v>
                </c:pt>
                <c:pt idx="11">
                  <c:v>99.5</c:v>
                </c:pt>
                <c:pt idx="12">
                  <c:v>99.002499999999998</c:v>
                </c:pt>
                <c:pt idx="13">
                  <c:v>98.507487499999996</c:v>
                </c:pt>
                <c:pt idx="14">
                  <c:v>98.014950062499992</c:v>
                </c:pt>
                <c:pt idx="15">
                  <c:v>97.52487531218749</c:v>
                </c:pt>
                <c:pt idx="16">
                  <c:v>97.037250935626545</c:v>
                </c:pt>
                <c:pt idx="17">
                  <c:v>96.552064680948419</c:v>
                </c:pt>
                <c:pt idx="18">
                  <c:v>96.069304357543672</c:v>
                </c:pt>
                <c:pt idx="19">
                  <c:v>95.588957835755949</c:v>
                </c:pt>
                <c:pt idx="20">
                  <c:v>95.11101304657717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ECONOMY'!$BI$33:$BI$34</c:f>
              <c:numCache>
                <c:formatCode>0.0%</c:formatCode>
                <c:ptCount val="2"/>
                <c:pt idx="0">
                  <c:v>1.7857142857142804E-2</c:v>
                </c:pt>
                <c:pt idx="1">
                  <c:v>1.7857142857142804E-2</c:v>
                </c:pt>
              </c:numCache>
            </c:numRef>
          </c:xVal>
          <c:yVal>
            <c:numRef>
              <c:f>'MAIN OPEN ECONOMY'!$BJ$33:$BJ$34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ECONOMY'!$BK$33:$BK$34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1.7857142857142804E-2</c:v>
                </c:pt>
              </c:numCache>
            </c:numRef>
          </c:xVal>
          <c:yVal>
            <c:numRef>
              <c:f>'MAIN OPEN ECONOMY'!$BL$33:$BL$34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5"/>
          <c:order val="5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ECONOMY'!$BI$42:$BI$43</c:f>
              <c:numCache>
                <c:formatCode>0.0%</c:formatCode>
                <c:ptCount val="2"/>
                <c:pt idx="0">
                  <c:v>8.9743716003434712E-3</c:v>
                </c:pt>
                <c:pt idx="1">
                  <c:v>8.9743716003434712E-3</c:v>
                </c:pt>
              </c:numCache>
            </c:numRef>
          </c:xVal>
          <c:yVal>
            <c:numRef>
              <c:f>'MAIN OPEN ECONOMY'!$BJ$42:$BJ$43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100.73197824219868</c:v>
                </c:pt>
              </c:numCache>
            </c:numRef>
          </c:yVal>
          <c:smooth val="0"/>
        </c:ser>
        <c:ser>
          <c:idx val="6"/>
          <c:order val="6"/>
          <c:spPr>
            <a:ln w="12700">
              <a:solidFill>
                <a:prstClr val="black"/>
              </a:solidFill>
              <a:prstDash val="sysDot"/>
            </a:ln>
          </c:spPr>
          <c:marker>
            <c:symbol val="none"/>
          </c:marker>
          <c:xVal>
            <c:numRef>
              <c:f>'MAIN OPEN ECONOMY'!$BK$42:$BK$43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8.9743716003434712E-3</c:v>
                </c:pt>
              </c:numCache>
            </c:numRef>
          </c:xVal>
          <c:yVal>
            <c:numRef>
              <c:f>'MAIN OPEN ECONOMY'!$BL$42:$BL$43</c:f>
              <c:numCache>
                <c:formatCode>0.0</c:formatCode>
                <c:ptCount val="2"/>
                <c:pt idx="0">
                  <c:v>100.73197824219868</c:v>
                </c:pt>
                <c:pt idx="1">
                  <c:v>100.73197824219868</c:v>
                </c:pt>
              </c:numCache>
            </c:numRef>
          </c:yVal>
          <c:smooth val="0"/>
        </c:ser>
        <c:ser>
          <c:idx val="7"/>
          <c:order val="7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ECONOMY'!$BI$52:$BI$53</c:f>
              <c:numCache>
                <c:formatCode>0.0%</c:formatCode>
                <c:ptCount val="2"/>
                <c:pt idx="0">
                  <c:v>1.8346029201259596E-2</c:v>
                </c:pt>
                <c:pt idx="1">
                  <c:v>1.8346029201259596E-2</c:v>
                </c:pt>
              </c:numCache>
            </c:numRef>
          </c:xVal>
          <c:yVal>
            <c:numRef>
              <c:f>'MAIN OPEN ECONOMY'!$BJ$52:$BJ$53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101.83630117377614</c:v>
                </c:pt>
              </c:numCache>
            </c:numRef>
          </c:yVal>
          <c:smooth val="0"/>
        </c:ser>
        <c:ser>
          <c:idx val="8"/>
          <c:order val="8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ECONOMY'!$BK$52:$BK$53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1.8346029201259596E-2</c:v>
                </c:pt>
              </c:numCache>
            </c:numRef>
          </c:xVal>
          <c:yVal>
            <c:numRef>
              <c:f>'MAIN OPEN ECONOMY'!$BL$52:$BL$53</c:f>
              <c:numCache>
                <c:formatCode>0.0</c:formatCode>
                <c:ptCount val="2"/>
                <c:pt idx="0">
                  <c:v>101.83630117377614</c:v>
                </c:pt>
                <c:pt idx="1">
                  <c:v>101.83630117377614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'MAIN OPEN ECONOMY'!$BI$31</c:f>
              <c:strCache>
                <c:ptCount val="1"/>
                <c:pt idx="0">
                  <c:v>base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949161347862428E-2"/>
                  <c:y val="4.639174504558080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ECONOMY'!$BI$36:$BI$37</c:f>
              <c:numCache>
                <c:formatCode>0.0%</c:formatCode>
                <c:ptCount val="2"/>
                <c:pt idx="0">
                  <c:v>1.7857142857142804E-2</c:v>
                </c:pt>
                <c:pt idx="1">
                  <c:v>1.7857142857142804E-2</c:v>
                </c:pt>
              </c:numCache>
            </c:numRef>
          </c:xVal>
          <c:yVal>
            <c:numRef>
              <c:f>'MAIN OPEN ECONOMY'!$BJ$36:$BJ$37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'MAIN OPEN ECONOMY'!$BI$40</c:f>
              <c:strCache>
                <c:ptCount val="1"/>
                <c:pt idx="0">
                  <c:v>(i)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'MAIN OPEN ECONOMY'!$BI$45:$BI$46</c:f>
              <c:numCache>
                <c:formatCode>0.0%</c:formatCode>
                <c:ptCount val="2"/>
                <c:pt idx="0">
                  <c:v>8.9743716003434712E-3</c:v>
                </c:pt>
                <c:pt idx="1">
                  <c:v>8.9743716003434712E-3</c:v>
                </c:pt>
              </c:numCache>
            </c:numRef>
          </c:xVal>
          <c:yVal>
            <c:numRef>
              <c:f>'MAIN OPEN ECONOMY'!$BJ$45:$BJ$46</c:f>
              <c:numCache>
                <c:formatCode>0.0</c:formatCode>
                <c:ptCount val="2"/>
                <c:pt idx="0">
                  <c:v>100.73197824219868</c:v>
                </c:pt>
                <c:pt idx="1">
                  <c:v>100.73197824219868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'MAIN OPEN ECONOMY'!$BI$50</c:f>
              <c:strCache>
                <c:ptCount val="1"/>
                <c:pt idx="0">
                  <c:v>(ii)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52904555883965E-2"/>
                  <c:y val="3.24738562425754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ECONOMY'!$BI$55:$BI$56</c:f>
              <c:numCache>
                <c:formatCode>0.0%</c:formatCode>
                <c:ptCount val="2"/>
                <c:pt idx="0">
                  <c:v>1.8346029201259596E-2</c:v>
                </c:pt>
                <c:pt idx="1">
                  <c:v>1.8346029201259596E-2</c:v>
                </c:pt>
              </c:numCache>
            </c:numRef>
          </c:xVal>
          <c:yVal>
            <c:numRef>
              <c:f>'MAIN OPEN ECONOMY'!$BJ$55:$BJ$56</c:f>
              <c:numCache>
                <c:formatCode>0.0</c:formatCode>
                <c:ptCount val="2"/>
                <c:pt idx="0">
                  <c:v>101.83630117377614</c:v>
                </c:pt>
                <c:pt idx="1">
                  <c:v>101.83630117377614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012000"/>
        <c:axId val="519012784"/>
      </c:scatterChart>
      <c:valAx>
        <c:axId val="519012000"/>
        <c:scaling>
          <c:orientation val="minMax"/>
          <c:max val="7.0000000000000021E-2"/>
          <c:min val="-7.0000000000000021E-2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Net exports (in percent of potential</a:t>
                </a:r>
                <a:r>
                  <a:rPr lang="en-US" b="0" baseline="0"/>
                  <a:t> output)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6931171364306933"/>
              <c:y val="0.88770844250717507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012784"/>
        <c:crosses val="autoZero"/>
        <c:crossBetween val="midCat"/>
      </c:valAx>
      <c:valAx>
        <c:axId val="519012784"/>
        <c:scaling>
          <c:orientation val="minMax"/>
          <c:max val="106"/>
          <c:min val="9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Real exchange rate index </a:t>
                </a:r>
              </a:p>
              <a:p>
                <a:pPr>
                  <a:defRPr sz="800" b="0"/>
                </a:pPr>
                <a:r>
                  <a:rPr lang="en-US" sz="800" b="0"/>
                  <a:t>(app -, base=100)</a:t>
                </a:r>
              </a:p>
            </c:rich>
          </c:tx>
          <c:layout>
            <c:manualLayout>
              <c:xMode val="edge"/>
              <c:yMode val="edge"/>
              <c:x val="3.361261807752884E-3"/>
              <c:y val="0.26151886697507193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012000"/>
        <c:crossesAt val="-7.0000000000000021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IS/RR Curve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ECONOMY'!$AK$7:$AK$27</c:f>
              <c:numCache>
                <c:formatCode>0.00%</c:formatCode>
                <c:ptCount val="21"/>
                <c:pt idx="0">
                  <c:v>-8.3928571428571463E-3</c:v>
                </c:pt>
                <c:pt idx="1">
                  <c:v>-5.553571428571432E-3</c:v>
                </c:pt>
                <c:pt idx="2">
                  <c:v>-2.7142857142857177E-3</c:v>
                </c:pt>
                <c:pt idx="3">
                  <c:v>1.2499999999999664E-4</c:v>
                </c:pt>
                <c:pt idx="4">
                  <c:v>2.964285714285711E-3</c:v>
                </c:pt>
                <c:pt idx="5">
                  <c:v>5.8035714285714253E-3</c:v>
                </c:pt>
                <c:pt idx="6">
                  <c:v>8.6428571428571414E-3</c:v>
                </c:pt>
                <c:pt idx="7">
                  <c:v>1.1482142857142857E-2</c:v>
                </c:pt>
                <c:pt idx="8">
                  <c:v>1.4321428571428572E-2</c:v>
                </c:pt>
                <c:pt idx="9">
                  <c:v>1.7160714285714286E-2</c:v>
                </c:pt>
                <c:pt idx="10" formatCode="0.0%">
                  <c:v>0.02</c:v>
                </c:pt>
                <c:pt idx="11">
                  <c:v>2.2839285714285715E-2</c:v>
                </c:pt>
                <c:pt idx="12">
                  <c:v>2.5678571428571429E-2</c:v>
                </c:pt>
                <c:pt idx="13">
                  <c:v>2.8517857142857143E-2</c:v>
                </c:pt>
                <c:pt idx="14">
                  <c:v>3.1357142857142861E-2</c:v>
                </c:pt>
                <c:pt idx="15">
                  <c:v>3.4196428571428572E-2</c:v>
                </c:pt>
                <c:pt idx="16">
                  <c:v>3.703571428571429E-2</c:v>
                </c:pt>
                <c:pt idx="17">
                  <c:v>3.9875000000000008E-2</c:v>
                </c:pt>
                <c:pt idx="18">
                  <c:v>4.2714285714285719E-2</c:v>
                </c:pt>
                <c:pt idx="19">
                  <c:v>4.5553571428571429E-2</c:v>
                </c:pt>
                <c:pt idx="20">
                  <c:v>4.8392857142857147E-2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ECONOMY'!$AM$7:$AM$27</c:f>
              <c:numCache>
                <c:formatCode>0.00%</c:formatCode>
                <c:ptCount val="21"/>
                <c:pt idx="0">
                  <c:v>-1.9135714285714287E-2</c:v>
                </c:pt>
                <c:pt idx="1">
                  <c:v>-1.6296428571428569E-2</c:v>
                </c:pt>
                <c:pt idx="2">
                  <c:v>-1.3457142857142858E-2</c:v>
                </c:pt>
                <c:pt idx="3">
                  <c:v>-1.0617857142857144E-2</c:v>
                </c:pt>
                <c:pt idx="4">
                  <c:v>-7.7785714285714298E-3</c:v>
                </c:pt>
                <c:pt idx="5">
                  <c:v>-4.9392857142857155E-3</c:v>
                </c:pt>
                <c:pt idx="6">
                  <c:v>-2.1000000000000012E-3</c:v>
                </c:pt>
                <c:pt idx="7">
                  <c:v>7.3928571428571316E-4</c:v>
                </c:pt>
                <c:pt idx="8">
                  <c:v>3.5785714285714275E-3</c:v>
                </c:pt>
                <c:pt idx="9">
                  <c:v>6.4178571428571418E-3</c:v>
                </c:pt>
                <c:pt idx="10" formatCode="0.0%">
                  <c:v>9.2571428571428579E-3</c:v>
                </c:pt>
                <c:pt idx="11">
                  <c:v>1.2096428571428572E-2</c:v>
                </c:pt>
                <c:pt idx="12">
                  <c:v>1.4935714285714287E-2</c:v>
                </c:pt>
                <c:pt idx="13">
                  <c:v>1.7774999999999999E-2</c:v>
                </c:pt>
                <c:pt idx="14">
                  <c:v>2.0614285714285717E-2</c:v>
                </c:pt>
                <c:pt idx="15">
                  <c:v>2.3453571428571431E-2</c:v>
                </c:pt>
                <c:pt idx="16">
                  <c:v>2.6292857142857146E-2</c:v>
                </c:pt>
                <c:pt idx="17">
                  <c:v>2.913214285714286E-2</c:v>
                </c:pt>
                <c:pt idx="18">
                  <c:v>3.1971428571428574E-2</c:v>
                </c:pt>
                <c:pt idx="19">
                  <c:v>3.4810714285714292E-2</c:v>
                </c:pt>
                <c:pt idx="20">
                  <c:v>3.7650000000000003E-2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ECONOMY'!$AO$7:$AO$27</c:f>
              <c:numCache>
                <c:formatCode>0.00%</c:formatCode>
                <c:ptCount val="21"/>
                <c:pt idx="0">
                  <c:v>3.7214285714285734E-3</c:v>
                </c:pt>
                <c:pt idx="1">
                  <c:v>6.560714285714286E-3</c:v>
                </c:pt>
                <c:pt idx="2">
                  <c:v>9.3999999999999986E-3</c:v>
                </c:pt>
                <c:pt idx="3">
                  <c:v>1.2239285714285713E-2</c:v>
                </c:pt>
                <c:pt idx="4">
                  <c:v>1.5078571428571427E-2</c:v>
                </c:pt>
                <c:pt idx="5">
                  <c:v>1.7917857142857142E-2</c:v>
                </c:pt>
                <c:pt idx="6">
                  <c:v>2.0757142857142856E-2</c:v>
                </c:pt>
                <c:pt idx="7">
                  <c:v>2.3596428571428574E-2</c:v>
                </c:pt>
                <c:pt idx="8">
                  <c:v>2.6435714285714288E-2</c:v>
                </c:pt>
                <c:pt idx="9">
                  <c:v>2.9275000000000002E-2</c:v>
                </c:pt>
                <c:pt idx="10" formatCode="0.0%">
                  <c:v>3.211428571428572E-2</c:v>
                </c:pt>
                <c:pt idx="11">
                  <c:v>3.4953571428571431E-2</c:v>
                </c:pt>
                <c:pt idx="12">
                  <c:v>3.7792857142857142E-2</c:v>
                </c:pt>
                <c:pt idx="13">
                  <c:v>4.063214285714286E-2</c:v>
                </c:pt>
                <c:pt idx="14">
                  <c:v>4.3471428571428578E-2</c:v>
                </c:pt>
                <c:pt idx="15">
                  <c:v>4.6310714285714288E-2</c:v>
                </c:pt>
                <c:pt idx="16">
                  <c:v>4.9150000000000006E-2</c:v>
                </c:pt>
                <c:pt idx="17">
                  <c:v>5.1989285714285724E-2</c:v>
                </c:pt>
                <c:pt idx="18">
                  <c:v>5.4828571428571435E-2</c:v>
                </c:pt>
                <c:pt idx="19">
                  <c:v>5.7667857142857146E-2</c:v>
                </c:pt>
                <c:pt idx="20">
                  <c:v>6.050714285714287E-2</c:v>
                </c:pt>
              </c:numCache>
            </c:numRef>
          </c:yVal>
          <c:smooth val="0"/>
        </c:ser>
        <c:ser>
          <c:idx val="3"/>
          <c:order val="3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ECONOMY'!$AR$7:$AR$27</c:f>
              <c:numCache>
                <c:formatCode>0.0%</c:formatCode>
                <c:ptCount val="21"/>
                <c:pt idx="0">
                  <c:v>8.0714285714285711E-2</c:v>
                </c:pt>
                <c:pt idx="1">
                  <c:v>7.464285714285715E-2</c:v>
                </c:pt>
                <c:pt idx="2">
                  <c:v>6.8571428571428575E-2</c:v>
                </c:pt>
                <c:pt idx="3">
                  <c:v>6.2500000000000014E-2</c:v>
                </c:pt>
                <c:pt idx="4">
                  <c:v>5.6428571428571439E-2</c:v>
                </c:pt>
                <c:pt idx="5">
                  <c:v>5.0357142857142864E-2</c:v>
                </c:pt>
                <c:pt idx="6">
                  <c:v>4.4285714285714289E-2</c:v>
                </c:pt>
                <c:pt idx="7">
                  <c:v>3.8214285714285715E-2</c:v>
                </c:pt>
                <c:pt idx="8">
                  <c:v>3.2142857142857147E-2</c:v>
                </c:pt>
                <c:pt idx="9">
                  <c:v>2.6071428571428572E-2</c:v>
                </c:pt>
                <c:pt idx="10">
                  <c:v>0.02</c:v>
                </c:pt>
                <c:pt idx="11">
                  <c:v>1.3928571428571429E-2</c:v>
                </c:pt>
                <c:pt idx="12">
                  <c:v>7.8571428571428559E-3</c:v>
                </c:pt>
                <c:pt idx="13">
                  <c:v>1.7857142857142863E-3</c:v>
                </c:pt>
                <c:pt idx="14">
                  <c:v>-4.2857142857142885E-3</c:v>
                </c:pt>
                <c:pt idx="15">
                  <c:v>-1.035714285714286E-2</c:v>
                </c:pt>
                <c:pt idx="16">
                  <c:v>-1.6428571428571435E-2</c:v>
                </c:pt>
                <c:pt idx="17">
                  <c:v>-2.250000000000001E-2</c:v>
                </c:pt>
                <c:pt idx="18">
                  <c:v>-2.8571428571428577E-2</c:v>
                </c:pt>
                <c:pt idx="19">
                  <c:v>-3.4642857142857142E-2</c:v>
                </c:pt>
                <c:pt idx="20">
                  <c:v>-4.0714285714285717E-2</c:v>
                </c:pt>
              </c:numCache>
            </c:numRef>
          </c:yVal>
          <c:smooth val="0"/>
        </c:ser>
        <c:ser>
          <c:idx val="4"/>
          <c:order val="4"/>
          <c:spPr>
            <a:ln w="19050" cap="rnd">
              <a:solidFill>
                <a:schemeClr val="accent5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ECONOMY'!$AT$7:$AT$27</c:f>
              <c:numCache>
                <c:formatCode>0.0%</c:formatCode>
                <c:ptCount val="21"/>
                <c:pt idx="0">
                  <c:v>8.0714285714285711E-2</c:v>
                </c:pt>
                <c:pt idx="1">
                  <c:v>7.464285714285715E-2</c:v>
                </c:pt>
                <c:pt idx="2">
                  <c:v>6.8571428571428575E-2</c:v>
                </c:pt>
                <c:pt idx="3">
                  <c:v>6.2500000000000014E-2</c:v>
                </c:pt>
                <c:pt idx="4">
                  <c:v>5.6428571428571439E-2</c:v>
                </c:pt>
                <c:pt idx="5">
                  <c:v>5.0357142857142864E-2</c:v>
                </c:pt>
                <c:pt idx="6">
                  <c:v>4.4285714285714289E-2</c:v>
                </c:pt>
                <c:pt idx="7">
                  <c:v>3.8214285714285715E-2</c:v>
                </c:pt>
                <c:pt idx="8">
                  <c:v>3.2142857142857147E-2</c:v>
                </c:pt>
                <c:pt idx="9">
                  <c:v>2.6071428571428572E-2</c:v>
                </c:pt>
                <c:pt idx="10">
                  <c:v>0.02</c:v>
                </c:pt>
                <c:pt idx="11">
                  <c:v>1.3928571428571429E-2</c:v>
                </c:pt>
                <c:pt idx="12">
                  <c:v>7.8571428571428559E-3</c:v>
                </c:pt>
                <c:pt idx="13">
                  <c:v>1.7857142857142863E-3</c:v>
                </c:pt>
                <c:pt idx="14">
                  <c:v>-4.2857142857142885E-3</c:v>
                </c:pt>
                <c:pt idx="15">
                  <c:v>-1.035714285714286E-2</c:v>
                </c:pt>
                <c:pt idx="16">
                  <c:v>-1.6428571428571435E-2</c:v>
                </c:pt>
                <c:pt idx="17">
                  <c:v>-2.250000000000001E-2</c:v>
                </c:pt>
                <c:pt idx="18">
                  <c:v>-2.8571428571428577E-2</c:v>
                </c:pt>
                <c:pt idx="19">
                  <c:v>-3.4642857142857142E-2</c:v>
                </c:pt>
                <c:pt idx="20">
                  <c:v>-4.0714285714285717E-2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ECONOMY'!$AV$7:$AV$27</c:f>
              <c:numCache>
                <c:formatCode>0.0%</c:formatCode>
                <c:ptCount val="21"/>
                <c:pt idx="0">
                  <c:v>0.12271428571428572</c:v>
                </c:pt>
                <c:pt idx="1">
                  <c:v>0.11664285714285716</c:v>
                </c:pt>
                <c:pt idx="2">
                  <c:v>0.11057142857142857</c:v>
                </c:pt>
                <c:pt idx="3">
                  <c:v>0.10450000000000001</c:v>
                </c:pt>
                <c:pt idx="4">
                  <c:v>9.8428571428571449E-2</c:v>
                </c:pt>
                <c:pt idx="5">
                  <c:v>9.235714285714286E-2</c:v>
                </c:pt>
                <c:pt idx="6">
                  <c:v>8.6285714285714299E-2</c:v>
                </c:pt>
                <c:pt idx="7">
                  <c:v>8.021428571428571E-2</c:v>
                </c:pt>
                <c:pt idx="8">
                  <c:v>7.4142857142857149E-2</c:v>
                </c:pt>
                <c:pt idx="9">
                  <c:v>6.8071428571428574E-2</c:v>
                </c:pt>
                <c:pt idx="10">
                  <c:v>6.2E-2</c:v>
                </c:pt>
                <c:pt idx="11">
                  <c:v>5.5928571428571432E-2</c:v>
                </c:pt>
                <c:pt idx="12">
                  <c:v>4.9857142857142857E-2</c:v>
                </c:pt>
                <c:pt idx="13">
                  <c:v>4.3785714285714289E-2</c:v>
                </c:pt>
                <c:pt idx="14">
                  <c:v>3.7714285714285714E-2</c:v>
                </c:pt>
                <c:pt idx="15">
                  <c:v>3.1642857142857139E-2</c:v>
                </c:pt>
                <c:pt idx="16">
                  <c:v>2.5571428571428568E-2</c:v>
                </c:pt>
                <c:pt idx="17">
                  <c:v>1.9499999999999993E-2</c:v>
                </c:pt>
                <c:pt idx="18">
                  <c:v>1.3428571428571425E-2</c:v>
                </c:pt>
                <c:pt idx="19">
                  <c:v>7.3571428571428607E-3</c:v>
                </c:pt>
                <c:pt idx="20">
                  <c:v>1.2857142857142859E-3</c:v>
                </c:pt>
              </c:numCache>
            </c:numRef>
          </c:yVal>
          <c:smooth val="0"/>
        </c:ser>
        <c:ser>
          <c:idx val="6"/>
          <c:order val="6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ECONOMY'!$AK$33:$AK$34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ECONOMY'!$AL$33:$AL$34</c:f>
              <c:numCache>
                <c:formatCode>0.0%</c:formatCode>
                <c:ptCount val="2"/>
                <c:pt idx="0">
                  <c:v>-0.1</c:v>
                </c:pt>
                <c:pt idx="1">
                  <c:v>0.02</c:v>
                </c:pt>
              </c:numCache>
            </c:numRef>
          </c:yVal>
          <c:smooth val="0"/>
        </c:ser>
        <c:ser>
          <c:idx val="7"/>
          <c:order val="7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ECONOMY'!$AK$37:$AK$38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0</c:v>
                </c:pt>
              </c:numCache>
            </c:numRef>
          </c:xVal>
          <c:yVal>
            <c:numRef>
              <c:f>'MAIN OPEN ECONOMY'!$AL$37:$AL$38</c:f>
              <c:numCache>
                <c:formatCode>0.0%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8"/>
          <c:order val="8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ECONOMY'!$AK$42:$AK$43</c:f>
              <c:numCache>
                <c:formatCode>0.0%</c:formatCode>
                <c:ptCount val="2"/>
                <c:pt idx="0">
                  <c:v>-6.028056112224448E-3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ECONOMY'!$AL$42:$AL$43</c:f>
              <c:numCache>
                <c:formatCode>0.0%</c:formatCode>
                <c:ptCount val="2"/>
                <c:pt idx="0">
                  <c:v>-0.1</c:v>
                </c:pt>
                <c:pt idx="1">
                  <c:v>1.2680217578013169E-2</c:v>
                </c:pt>
              </c:numCache>
            </c:numRef>
          </c:yVal>
          <c:smooth val="0"/>
        </c:ser>
        <c:ser>
          <c:idx val="9"/>
          <c:order val="9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ECONOMY'!$AK$46:$AK$47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ECONOMY'!$AL$46:$AL$47</c:f>
              <c:numCache>
                <c:formatCode>0.0%</c:formatCode>
                <c:ptCount val="2"/>
                <c:pt idx="0">
                  <c:v>1.2680217578013169E-2</c:v>
                </c:pt>
                <c:pt idx="1">
                  <c:v>1.2680217578013169E-2</c:v>
                </c:pt>
              </c:numCache>
            </c:numRef>
          </c:yVal>
          <c:smooth val="0"/>
        </c:ser>
        <c:ser>
          <c:idx val="10"/>
          <c:order val="10"/>
          <c:spPr>
            <a:ln w="12700" cap="rnd">
              <a:solidFill>
                <a:schemeClr val="accent5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ECONOMY'!$AK$51:$AK$52</c:f>
              <c:numCache>
                <c:formatCode>0.0%</c:formatCode>
                <c:ptCount val="2"/>
                <c:pt idx="0">
                  <c:v>-1.6769539078156308E-2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ECONOMY'!$AL$51:$AL$52</c:f>
              <c:numCache>
                <c:formatCode>0.0%</c:formatCode>
                <c:ptCount val="2"/>
                <c:pt idx="0">
                  <c:v>-0.1</c:v>
                </c:pt>
                <c:pt idx="1">
                  <c:v>4.1636988262238772E-2</c:v>
                </c:pt>
              </c:numCache>
            </c:numRef>
          </c:yVal>
          <c:smooth val="0"/>
        </c:ser>
        <c:ser>
          <c:idx val="11"/>
          <c:order val="11"/>
          <c:spPr>
            <a:ln w="12700" cap="rnd">
              <a:solidFill>
                <a:schemeClr val="accent6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ECONOMY'!$AK$55:$AK$56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ECONOMY'!$AL$55:$AL$56</c:f>
              <c:numCache>
                <c:formatCode>0.0%</c:formatCode>
                <c:ptCount val="2"/>
                <c:pt idx="0">
                  <c:v>4.1636988262238772E-2</c:v>
                </c:pt>
                <c:pt idx="1">
                  <c:v>4.1636988262238772E-2</c:v>
                </c:pt>
              </c:numCache>
            </c:numRef>
          </c:yVal>
          <c:smooth val="0"/>
        </c:ser>
        <c:ser>
          <c:idx val="12"/>
          <c:order val="12"/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ECONOMY'!$AM$33:$AM$34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ECONOMY'!$AN$33:$AN$34</c:f>
              <c:numCache>
                <c:formatCode>0.00%</c:formatCode>
                <c:ptCount val="2"/>
                <c:pt idx="0" formatCode="0.0%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'MAIN OPEN ECONOMY'!$AM$31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397766048227243E-2"/>
                  <c:y val="2.771280946425177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ECONOMY'!$AM$33:$AM$34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ECONOMY'!$AN$33:$AN$34</c:f>
              <c:numCache>
                <c:formatCode>0.00%</c:formatCode>
                <c:ptCount val="2"/>
                <c:pt idx="0" formatCode="0.0%">
                  <c:v>0.02</c:v>
                </c:pt>
                <c:pt idx="1">
                  <c:v>0.02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'MAIN OPEN ECONOMY'!$AM$40</c:f>
              <c:strCache>
                <c:ptCount val="1"/>
                <c:pt idx="0">
                  <c:v>(i)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669142737088272E-2"/>
                  <c:y val="-2.771280946425177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ECONOMY'!$AM$42:$AM$43</c:f>
              <c:numCache>
                <c:formatCode>0.0%</c:formatCode>
                <c:ptCount val="2"/>
                <c:pt idx="0">
                  <c:v>-6.028056112224448E-3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ECONOMY'!$AN$42:$AN$43</c:f>
              <c:numCache>
                <c:formatCode>0.0%</c:formatCode>
                <c:ptCount val="2"/>
                <c:pt idx="0">
                  <c:v>1.2680217578013169E-2</c:v>
                </c:pt>
                <c:pt idx="1">
                  <c:v>1.2680217578013169E-2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'MAIN OPEN ECONOMY'!$AM$49</c:f>
              <c:strCache>
                <c:ptCount val="1"/>
                <c:pt idx="0">
                  <c:v>(ii)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728623311139015E-2"/>
                  <c:y val="-8.467705072203167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ECONOMY'!$AM$51:$AM$52</c:f>
              <c:numCache>
                <c:formatCode>0.0%</c:formatCode>
                <c:ptCount val="2"/>
                <c:pt idx="0">
                  <c:v>-1.6769539078156308E-2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ECONOMY'!$AN$51:$AN$52</c:f>
              <c:numCache>
                <c:formatCode>0.0%</c:formatCode>
                <c:ptCount val="2"/>
                <c:pt idx="0">
                  <c:v>4.1636988262238772E-2</c:v>
                </c:pt>
                <c:pt idx="1">
                  <c:v>4.1636988262238772E-2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771440"/>
        <c:axId val="421772616"/>
      </c:scatterChart>
      <c:valAx>
        <c:axId val="421771440"/>
        <c:scaling>
          <c:orientation val="minMax"/>
          <c:max val="5.0000000000000024E-2"/>
          <c:min val="-5.0000000000000024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Output</a:t>
                </a:r>
                <a:r>
                  <a:rPr lang="en-US" b="0" baseline="0"/>
                  <a:t> gap (in percent)</a:t>
                </a:r>
                <a:endParaRPr lang="en-US" b="0"/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72616"/>
        <c:crossesAt val="-6.0000000000000032E-2"/>
        <c:crossBetween val="midCat"/>
      </c:valAx>
      <c:valAx>
        <c:axId val="421772616"/>
        <c:scaling>
          <c:orientation val="minMax"/>
          <c:max val="6.0000000000000032E-2"/>
          <c:min val="-2.0000000000000011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Real interest rate (in percent)</a:t>
                </a:r>
              </a:p>
            </c:rich>
          </c:tx>
          <c:layout/>
          <c:overlay val="0"/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71440"/>
        <c:crossesAt val="-6.000000000000003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Phillips Curve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ECONOMY'!$AZ$7:$AZ$27</c:f>
              <c:numCache>
                <c:formatCode>0.0%</c:formatCode>
                <c:ptCount val="21"/>
                <c:pt idx="0">
                  <c:v>0.10142857142857142</c:v>
                </c:pt>
                <c:pt idx="1">
                  <c:v>9.4285714285714278E-2</c:v>
                </c:pt>
                <c:pt idx="2">
                  <c:v>8.7142857142857147E-2</c:v>
                </c:pt>
                <c:pt idx="3">
                  <c:v>0.08</c:v>
                </c:pt>
                <c:pt idx="4">
                  <c:v>7.285714285714287E-2</c:v>
                </c:pt>
                <c:pt idx="5">
                  <c:v>6.5714285714285725E-2</c:v>
                </c:pt>
                <c:pt idx="6">
                  <c:v>5.8571428571428573E-2</c:v>
                </c:pt>
                <c:pt idx="7">
                  <c:v>5.1428571428571428E-2</c:v>
                </c:pt>
                <c:pt idx="8">
                  <c:v>4.4285714285714289E-2</c:v>
                </c:pt>
                <c:pt idx="9">
                  <c:v>3.7142857142857144E-2</c:v>
                </c:pt>
                <c:pt idx="10">
                  <c:v>0.03</c:v>
                </c:pt>
                <c:pt idx="11">
                  <c:v>2.2857142857142854E-2</c:v>
                </c:pt>
                <c:pt idx="12">
                  <c:v>1.5714285714285712E-2</c:v>
                </c:pt>
                <c:pt idx="13">
                  <c:v>8.5714285714285701E-3</c:v>
                </c:pt>
                <c:pt idx="14">
                  <c:v>1.4285714285714249E-3</c:v>
                </c:pt>
                <c:pt idx="15">
                  <c:v>-5.7142857142857204E-3</c:v>
                </c:pt>
                <c:pt idx="16">
                  <c:v>-1.2857142857142866E-2</c:v>
                </c:pt>
                <c:pt idx="17">
                  <c:v>-2.0000000000000004E-2</c:v>
                </c:pt>
                <c:pt idx="18">
                  <c:v>-2.7142857142857149E-2</c:v>
                </c:pt>
                <c:pt idx="19">
                  <c:v>-3.428571428571428E-2</c:v>
                </c:pt>
                <c:pt idx="20">
                  <c:v>-4.1428571428571426E-2</c:v>
                </c:pt>
              </c:numCache>
            </c:numRef>
          </c:yVal>
          <c:smooth val="0"/>
        </c:ser>
        <c:ser>
          <c:idx val="1"/>
          <c:order val="1"/>
          <c:spPr>
            <a:ln w="19050" cap="rnd">
              <a:solidFill>
                <a:srgbClr val="00B05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ECONOMY'!$BB$7:$BB$27</c:f>
              <c:numCache>
                <c:formatCode>0.0%</c:formatCode>
                <c:ptCount val="21"/>
                <c:pt idx="0">
                  <c:v>0.10142857142857142</c:v>
                </c:pt>
                <c:pt idx="1">
                  <c:v>9.4285714285714278E-2</c:v>
                </c:pt>
                <c:pt idx="2">
                  <c:v>8.7142857142857147E-2</c:v>
                </c:pt>
                <c:pt idx="3">
                  <c:v>0.08</c:v>
                </c:pt>
                <c:pt idx="4">
                  <c:v>7.285714285714287E-2</c:v>
                </c:pt>
                <c:pt idx="5">
                  <c:v>6.5714285714285725E-2</c:v>
                </c:pt>
                <c:pt idx="6">
                  <c:v>5.8571428571428573E-2</c:v>
                </c:pt>
                <c:pt idx="7">
                  <c:v>5.1428571428571428E-2</c:v>
                </c:pt>
                <c:pt idx="8">
                  <c:v>4.4285714285714289E-2</c:v>
                </c:pt>
                <c:pt idx="9">
                  <c:v>3.7142857142857144E-2</c:v>
                </c:pt>
                <c:pt idx="10">
                  <c:v>0.03</c:v>
                </c:pt>
                <c:pt idx="11">
                  <c:v>2.2857142857142854E-2</c:v>
                </c:pt>
                <c:pt idx="12">
                  <c:v>1.5714285714285712E-2</c:v>
                </c:pt>
                <c:pt idx="13">
                  <c:v>8.5714285714285701E-3</c:v>
                </c:pt>
                <c:pt idx="14">
                  <c:v>1.4285714285714249E-3</c:v>
                </c:pt>
                <c:pt idx="15">
                  <c:v>-5.7142857142857204E-3</c:v>
                </c:pt>
                <c:pt idx="16">
                  <c:v>-1.2857142857142866E-2</c:v>
                </c:pt>
                <c:pt idx="17">
                  <c:v>-2.0000000000000004E-2</c:v>
                </c:pt>
                <c:pt idx="18">
                  <c:v>-2.7142857142857149E-2</c:v>
                </c:pt>
                <c:pt idx="19">
                  <c:v>-3.428571428571428E-2</c:v>
                </c:pt>
                <c:pt idx="20">
                  <c:v>-4.1428571428571426E-2</c:v>
                </c:pt>
              </c:numCache>
            </c:numRef>
          </c:yVal>
          <c:smooth val="0"/>
        </c:ser>
        <c:ser>
          <c:idx val="2"/>
          <c:order val="2"/>
          <c:spPr>
            <a:ln w="190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'MAIN OPEN ECONOMY'!$AI$7:$AI$27</c:f>
              <c:numCache>
                <c:formatCode>0.0%</c:formatCode>
                <c:ptCount val="21"/>
                <c:pt idx="0">
                  <c:v>4.9999999999999996E-2</c:v>
                </c:pt>
                <c:pt idx="1">
                  <c:v>4.4999999999999998E-2</c:v>
                </c:pt>
                <c:pt idx="2">
                  <c:v>0.04</c:v>
                </c:pt>
                <c:pt idx="3">
                  <c:v>3.5000000000000003E-2</c:v>
                </c:pt>
                <c:pt idx="4">
                  <c:v>3.0000000000000002E-2</c:v>
                </c:pt>
                <c:pt idx="5">
                  <c:v>2.5000000000000001E-2</c:v>
                </c:pt>
                <c:pt idx="6">
                  <c:v>0.02</c:v>
                </c:pt>
                <c:pt idx="7">
                  <c:v>1.4999999999999999E-2</c:v>
                </c:pt>
                <c:pt idx="8">
                  <c:v>0.01</c:v>
                </c:pt>
                <c:pt idx="9">
                  <c:v>5.0000000000000001E-3</c:v>
                </c:pt>
                <c:pt idx="10">
                  <c:v>0</c:v>
                </c:pt>
                <c:pt idx="11">
                  <c:v>-5.0000000000000001E-3</c:v>
                </c:pt>
                <c:pt idx="12">
                  <c:v>-0.01</c:v>
                </c:pt>
                <c:pt idx="13">
                  <c:v>-1.4999999999999999E-2</c:v>
                </c:pt>
                <c:pt idx="14">
                  <c:v>-0.02</c:v>
                </c:pt>
                <c:pt idx="15">
                  <c:v>-2.5000000000000001E-2</c:v>
                </c:pt>
                <c:pt idx="16">
                  <c:v>-3.0000000000000002E-2</c:v>
                </c:pt>
                <c:pt idx="17">
                  <c:v>-3.5000000000000003E-2</c:v>
                </c:pt>
                <c:pt idx="18">
                  <c:v>-0.04</c:v>
                </c:pt>
                <c:pt idx="19">
                  <c:v>-4.4999999999999998E-2</c:v>
                </c:pt>
                <c:pt idx="20">
                  <c:v>-4.9999999999999996E-2</c:v>
                </c:pt>
              </c:numCache>
            </c:numRef>
          </c:xVal>
          <c:yVal>
            <c:numRef>
              <c:f>'MAIN OPEN ECONOMY'!$BD$7:$BD$27</c:f>
              <c:numCache>
                <c:formatCode>0.0%</c:formatCode>
                <c:ptCount val="21"/>
                <c:pt idx="0">
                  <c:v>0.10542857142857143</c:v>
                </c:pt>
                <c:pt idx="1">
                  <c:v>9.8285714285714282E-2</c:v>
                </c:pt>
                <c:pt idx="2">
                  <c:v>9.114285714285715E-2</c:v>
                </c:pt>
                <c:pt idx="3">
                  <c:v>8.4000000000000005E-2</c:v>
                </c:pt>
                <c:pt idx="4">
                  <c:v>7.6857142857142874E-2</c:v>
                </c:pt>
                <c:pt idx="5">
                  <c:v>6.9714285714285729E-2</c:v>
                </c:pt>
                <c:pt idx="6">
                  <c:v>6.257142857142857E-2</c:v>
                </c:pt>
                <c:pt idx="7">
                  <c:v>5.5428571428571424E-2</c:v>
                </c:pt>
                <c:pt idx="8">
                  <c:v>4.8285714285714293E-2</c:v>
                </c:pt>
                <c:pt idx="9">
                  <c:v>4.1142857142857148E-2</c:v>
                </c:pt>
                <c:pt idx="10">
                  <c:v>3.4000000000000002E-2</c:v>
                </c:pt>
                <c:pt idx="11">
                  <c:v>2.6857142857142854E-2</c:v>
                </c:pt>
                <c:pt idx="12">
                  <c:v>1.9714285714285712E-2</c:v>
                </c:pt>
                <c:pt idx="13">
                  <c:v>1.257142857142857E-2</c:v>
                </c:pt>
                <c:pt idx="14">
                  <c:v>5.428571428571425E-3</c:v>
                </c:pt>
                <c:pt idx="15">
                  <c:v>-1.7142857142857203E-3</c:v>
                </c:pt>
                <c:pt idx="16">
                  <c:v>-8.8571428571428655E-3</c:v>
                </c:pt>
                <c:pt idx="17">
                  <c:v>-1.6000000000000004E-2</c:v>
                </c:pt>
                <c:pt idx="18">
                  <c:v>-2.3142857142857149E-2</c:v>
                </c:pt>
                <c:pt idx="19">
                  <c:v>-3.028571428571428E-2</c:v>
                </c:pt>
                <c:pt idx="20">
                  <c:v>-3.7428571428571422E-2</c:v>
                </c:pt>
              </c:numCache>
            </c:numRef>
          </c:yVal>
          <c:smooth val="0"/>
        </c:ser>
        <c:ser>
          <c:idx val="3"/>
          <c:order val="3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ECONOMY'!$BA$33:$BA$34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ECONOMY'!$BB$33:$BB$34</c:f>
              <c:numCache>
                <c:formatCode>0.0%</c:formatCode>
                <c:ptCount val="2"/>
                <c:pt idx="0">
                  <c:v>-0.1</c:v>
                </c:pt>
                <c:pt idx="1">
                  <c:v>0.03</c:v>
                </c:pt>
              </c:numCache>
            </c:numRef>
          </c:yVal>
          <c:smooth val="0"/>
        </c:ser>
        <c:ser>
          <c:idx val="4"/>
          <c:order val="4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ECONOMY'!$BA$37:$BA$38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0</c:v>
                </c:pt>
              </c:numCache>
            </c:numRef>
          </c:xVal>
          <c:yVal>
            <c:numRef>
              <c:f>'MAIN OPEN ECONOMY'!$BB$37:$BB$38</c:f>
              <c:numCache>
                <c:formatCode>0.0%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yVal>
          <c:smooth val="0"/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bubble3D val="0"/>
            <c:spPr>
              <a:ln w="12700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xVal>
            <c:numRef>
              <c:f>'MAIN OPEN ECONOMY'!$BA$42:$BA$43</c:f>
              <c:numCache>
                <c:formatCode>0.0%</c:formatCode>
                <c:ptCount val="2"/>
                <c:pt idx="0">
                  <c:v>-6.028056112224448E-3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ECONOMY'!$BB$42:$BB$43</c:f>
              <c:numCache>
                <c:formatCode>0.0%</c:formatCode>
                <c:ptCount val="2"/>
                <c:pt idx="0">
                  <c:v>-0.1</c:v>
                </c:pt>
                <c:pt idx="1">
                  <c:v>2.1388491268250785E-2</c:v>
                </c:pt>
              </c:numCache>
            </c:numRef>
          </c:yVal>
          <c:smooth val="0"/>
        </c:ser>
        <c:ser>
          <c:idx val="6"/>
          <c:order val="6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ECONOMY'!$BA$46:$BA$47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ECONOMY'!$BB$46:$BB$47</c:f>
              <c:numCache>
                <c:formatCode>0.0%</c:formatCode>
                <c:ptCount val="2"/>
                <c:pt idx="0">
                  <c:v>2.1388491268250785E-2</c:v>
                </c:pt>
                <c:pt idx="1">
                  <c:v>2.1388491268250785E-2</c:v>
                </c:pt>
              </c:numCache>
            </c:numRef>
          </c:yVal>
          <c:smooth val="0"/>
        </c:ser>
        <c:ser>
          <c:idx val="7"/>
          <c:order val="7"/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ECONOMY'!$BA$51:$BA$52</c:f>
              <c:numCache>
                <c:formatCode>0.0%</c:formatCode>
                <c:ptCount val="2"/>
                <c:pt idx="0">
                  <c:v>-1.6769539078156308E-2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ECONOMY'!$BB$51:$BB$52</c:f>
              <c:numCache>
                <c:formatCode>0.0%</c:formatCode>
                <c:ptCount val="2"/>
                <c:pt idx="0">
                  <c:v>-0.1</c:v>
                </c:pt>
                <c:pt idx="1">
                  <c:v>1.0043515602633845E-2</c:v>
                </c:pt>
              </c:numCache>
            </c:numRef>
          </c:yVal>
          <c:smooth val="0"/>
        </c:ser>
        <c:ser>
          <c:idx val="8"/>
          <c:order val="8"/>
          <c:spPr>
            <a:ln w="12700" cap="rnd">
              <a:solidFill>
                <a:schemeClr val="accent3">
                  <a:lumMod val="6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'MAIN OPEN ECONOMY'!$BA$55:$BA$56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ECONOMY'!$BB$55:$BB$56</c:f>
              <c:numCache>
                <c:formatCode>0.0%</c:formatCode>
                <c:ptCount val="2"/>
                <c:pt idx="0">
                  <c:v>1.0043515602633845E-2</c:v>
                </c:pt>
                <c:pt idx="1">
                  <c:v>1.0043515602633845E-2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'MAIN OPEN ECONOMY'!$BC$31</c:f>
              <c:strCache>
                <c:ptCount val="1"/>
                <c:pt idx="0">
                  <c:v>base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5000000000000112E-2"/>
                  <c:y val="4.4994375703037133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ECONOMY'!$BC$33:$BC$34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'MAIN OPEN ECONOMY'!$BD$33:$BD$34</c:f>
              <c:numCache>
                <c:formatCode>0.00%</c:formatCode>
                <c:ptCount val="2"/>
                <c:pt idx="0" formatCode="0.0%">
                  <c:v>0.03</c:v>
                </c:pt>
                <c:pt idx="1">
                  <c:v>0.03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'MAIN OPEN ECONOMY'!$BC$40</c:f>
              <c:strCache>
                <c:ptCount val="1"/>
                <c:pt idx="0">
                  <c:v>(i)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444444444444545E-2"/>
                  <c:y val="1.799766900613248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ECONOMY'!$BC$42:$BC$43</c:f>
              <c:numCache>
                <c:formatCode>0.0%</c:formatCode>
                <c:ptCount val="2"/>
                <c:pt idx="0">
                  <c:v>-6.028056112224448E-3</c:v>
                </c:pt>
                <c:pt idx="1">
                  <c:v>-6.028056112224448E-3</c:v>
                </c:pt>
              </c:numCache>
            </c:numRef>
          </c:xVal>
          <c:yVal>
            <c:numRef>
              <c:f>'MAIN OPEN ECONOMY'!$BD$42:$BD$43</c:f>
              <c:numCache>
                <c:formatCode>0.0%</c:formatCode>
                <c:ptCount val="2"/>
                <c:pt idx="0">
                  <c:v>2.1388491268250785E-2</c:v>
                </c:pt>
                <c:pt idx="1">
                  <c:v>2.1388491268250785E-2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'MAIN OPEN ECONOMY'!$BC$49</c:f>
              <c:strCache>
                <c:ptCount val="1"/>
                <c:pt idx="0">
                  <c:v>(ii)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1666666666666782E-2"/>
                  <c:y val="-5.16166277562550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ECONOMY'!$BC$51:$BC$52</c:f>
              <c:numCache>
                <c:formatCode>0.0%</c:formatCode>
                <c:ptCount val="2"/>
                <c:pt idx="0">
                  <c:v>-1.6769539078156308E-2</c:v>
                </c:pt>
                <c:pt idx="1">
                  <c:v>-1.6769539078156308E-2</c:v>
                </c:pt>
              </c:numCache>
            </c:numRef>
          </c:xVal>
          <c:yVal>
            <c:numRef>
              <c:f>'MAIN OPEN ECONOMY'!$BD$51:$BD$52</c:f>
              <c:numCache>
                <c:formatCode>0.0%</c:formatCode>
                <c:ptCount val="2"/>
                <c:pt idx="0">
                  <c:v>1.0043515602633845E-2</c:v>
                </c:pt>
                <c:pt idx="1">
                  <c:v>1.0043515602633845E-2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779672"/>
        <c:axId val="421775360"/>
      </c:scatterChart>
      <c:valAx>
        <c:axId val="421779672"/>
        <c:scaling>
          <c:orientation val="minMax"/>
          <c:max val="5.0000000000000024E-2"/>
          <c:min val="-5.0000000000000024E-2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Output gap (in percent)</a:t>
                </a:r>
              </a:p>
            </c:rich>
          </c:tx>
          <c:layout/>
          <c:overlay val="0"/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75360"/>
        <c:crossesAt val="-6.0000000000000032E-2"/>
        <c:crossBetween val="midCat"/>
      </c:valAx>
      <c:valAx>
        <c:axId val="421775360"/>
        <c:scaling>
          <c:orientation val="minMax"/>
          <c:max val="9.0000000000000024E-2"/>
          <c:min val="-2.0000000000000011E-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Inflation rate (in percent)</a:t>
                </a:r>
              </a:p>
            </c:rich>
          </c:tx>
          <c:layout/>
          <c:overlay val="0"/>
        </c:title>
        <c:numFmt formatCode="0.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79672"/>
        <c:crossesAt val="-6.0000000000000032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Exports and Real Exchange Rate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75371712199144"/>
          <c:y val="0.17206698237405921"/>
          <c:w val="0.78663604441325108"/>
          <c:h val="0.6219383274716572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'MAIN OPEN ECONOMY'!$BI$7:$BI$27</c:f>
              <c:numCache>
                <c:formatCode>0.0%</c:formatCode>
                <c:ptCount val="21"/>
                <c:pt idx="0">
                  <c:v>5.8769248489774301E-2</c:v>
                </c:pt>
                <c:pt idx="1">
                  <c:v>5.4585606173194016E-2</c:v>
                </c:pt>
                <c:pt idx="2">
                  <c:v>5.0422777997492486E-2</c:v>
                </c:pt>
                <c:pt idx="3">
                  <c:v>4.6280660409729626E-2</c:v>
                </c:pt>
                <c:pt idx="4">
                  <c:v>4.2159150372154654E-2</c:v>
                </c:pt>
                <c:pt idx="5">
                  <c:v>3.805814535964229E-2</c:v>
                </c:pt>
                <c:pt idx="6">
                  <c:v>3.3977543357142453E-2</c:v>
                </c:pt>
                <c:pt idx="7">
                  <c:v>2.9917242857142499E-2</c:v>
                </c:pt>
                <c:pt idx="8">
                  <c:v>2.5877142857142578E-2</c:v>
                </c:pt>
                <c:pt idx="9">
                  <c:v>2.1857142857142707E-2</c:v>
                </c:pt>
                <c:pt idx="10">
                  <c:v>1.7857142857142794E-2</c:v>
                </c:pt>
                <c:pt idx="11">
                  <c:v>1.385714285714279E-2</c:v>
                </c:pt>
                <c:pt idx="12">
                  <c:v>9.8771428571427389E-3</c:v>
                </c:pt>
                <c:pt idx="13">
                  <c:v>5.9170428571428055E-3</c:v>
                </c:pt>
                <c:pt idx="14">
                  <c:v>1.9767433571427524E-3</c:v>
                </c:pt>
                <c:pt idx="15">
                  <c:v>-1.9438546453573145E-3</c:v>
                </c:pt>
                <c:pt idx="16">
                  <c:v>-5.8448496578448889E-3</c:v>
                </c:pt>
                <c:pt idx="17">
                  <c:v>-9.7263396952698145E-3</c:v>
                </c:pt>
                <c:pt idx="18">
                  <c:v>-1.3588422282507832E-2</c:v>
                </c:pt>
                <c:pt idx="19">
                  <c:v>-1.7431194456809608E-2</c:v>
                </c:pt>
                <c:pt idx="20">
                  <c:v>-2.1254752770239804E-2</c:v>
                </c:pt>
              </c:numCache>
            </c:numRef>
          </c:xVal>
          <c:yVal>
            <c:numRef>
              <c:f>'MAIN OPEN ECONOMY'!$BG$7:$BG$27</c:f>
              <c:numCache>
                <c:formatCode>0.0</c:formatCode>
                <c:ptCount val="21"/>
                <c:pt idx="0">
                  <c:v>105.11401320407893</c:v>
                </c:pt>
                <c:pt idx="1">
                  <c:v>104.59105791450641</c:v>
                </c:pt>
                <c:pt idx="2">
                  <c:v>104.0707043925437</c:v>
                </c:pt>
                <c:pt idx="3">
                  <c:v>103.55293969407334</c:v>
                </c:pt>
                <c:pt idx="4">
                  <c:v>103.03775093937648</c:v>
                </c:pt>
                <c:pt idx="5">
                  <c:v>102.52512531281243</c:v>
                </c:pt>
                <c:pt idx="6">
                  <c:v>102.01505006249995</c:v>
                </c:pt>
                <c:pt idx="7">
                  <c:v>101.50751249999996</c:v>
                </c:pt>
                <c:pt idx="8">
                  <c:v>101.00249999999997</c:v>
                </c:pt>
                <c:pt idx="9">
                  <c:v>100.49999999999999</c:v>
                </c:pt>
                <c:pt idx="10">
                  <c:v>100</c:v>
                </c:pt>
                <c:pt idx="11">
                  <c:v>99.5</c:v>
                </c:pt>
                <c:pt idx="12">
                  <c:v>99.002499999999998</c:v>
                </c:pt>
                <c:pt idx="13">
                  <c:v>98.507487499999996</c:v>
                </c:pt>
                <c:pt idx="14">
                  <c:v>98.014950062499992</c:v>
                </c:pt>
                <c:pt idx="15">
                  <c:v>97.52487531218749</c:v>
                </c:pt>
                <c:pt idx="16">
                  <c:v>97.037250935626545</c:v>
                </c:pt>
                <c:pt idx="17">
                  <c:v>96.552064680948419</c:v>
                </c:pt>
                <c:pt idx="18">
                  <c:v>96.069304357543672</c:v>
                </c:pt>
                <c:pt idx="19">
                  <c:v>95.588957835755949</c:v>
                </c:pt>
                <c:pt idx="20">
                  <c:v>95.11101304657717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chemeClr val="accent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'MAIN OPEN ECONOMY'!$BK$7:$BK$27</c:f>
              <c:numCache>
                <c:formatCode>0.0%</c:formatCode>
                <c:ptCount val="21"/>
                <c:pt idx="0">
                  <c:v>4.4030651295385526E-2</c:v>
                </c:pt>
                <c:pt idx="1">
                  <c:v>3.9847008978805241E-2</c:v>
                </c:pt>
                <c:pt idx="2">
                  <c:v>3.5684180803103711E-2</c:v>
                </c:pt>
                <c:pt idx="3">
                  <c:v>3.1542063215340851E-2</c:v>
                </c:pt>
                <c:pt idx="4">
                  <c:v>2.7420553177765879E-2</c:v>
                </c:pt>
                <c:pt idx="5">
                  <c:v>2.3319548165253515E-2</c:v>
                </c:pt>
                <c:pt idx="6">
                  <c:v>1.9238946162753678E-2</c:v>
                </c:pt>
                <c:pt idx="7">
                  <c:v>1.5178645662753723E-2</c:v>
                </c:pt>
                <c:pt idx="8">
                  <c:v>1.1138545662753801E-2</c:v>
                </c:pt>
                <c:pt idx="9">
                  <c:v>7.1185456627539303E-3</c:v>
                </c:pt>
                <c:pt idx="10">
                  <c:v>3.1185456627540165E-3</c:v>
                </c:pt>
                <c:pt idx="11">
                  <c:v>-8.8145433724598704E-4</c:v>
                </c:pt>
                <c:pt idx="12">
                  <c:v>-4.8614543372460378E-3</c:v>
                </c:pt>
                <c:pt idx="13">
                  <c:v>-8.8215543372459713E-3</c:v>
                </c:pt>
                <c:pt idx="14">
                  <c:v>-1.2761853837246024E-2</c:v>
                </c:pt>
                <c:pt idx="15">
                  <c:v>-1.6682451839746093E-2</c:v>
                </c:pt>
                <c:pt idx="16">
                  <c:v>-2.0583446852233664E-2</c:v>
                </c:pt>
                <c:pt idx="17">
                  <c:v>-2.4464936889658589E-2</c:v>
                </c:pt>
                <c:pt idx="18">
                  <c:v>-2.8327019476896607E-2</c:v>
                </c:pt>
                <c:pt idx="19">
                  <c:v>-3.2169791651198383E-2</c:v>
                </c:pt>
                <c:pt idx="20">
                  <c:v>-3.5993349964628579E-2</c:v>
                </c:pt>
              </c:numCache>
            </c:numRef>
          </c:xVal>
          <c:yVal>
            <c:numRef>
              <c:f>'MAIN OPEN ECONOMY'!$BG$7:$BG$27</c:f>
              <c:numCache>
                <c:formatCode>0.0</c:formatCode>
                <c:ptCount val="21"/>
                <c:pt idx="0">
                  <c:v>105.11401320407893</c:v>
                </c:pt>
                <c:pt idx="1">
                  <c:v>104.59105791450641</c:v>
                </c:pt>
                <c:pt idx="2">
                  <c:v>104.0707043925437</c:v>
                </c:pt>
                <c:pt idx="3">
                  <c:v>103.55293969407334</c:v>
                </c:pt>
                <c:pt idx="4">
                  <c:v>103.03775093937648</c:v>
                </c:pt>
                <c:pt idx="5">
                  <c:v>102.52512531281243</c:v>
                </c:pt>
                <c:pt idx="6">
                  <c:v>102.01505006249995</c:v>
                </c:pt>
                <c:pt idx="7">
                  <c:v>101.50751249999996</c:v>
                </c:pt>
                <c:pt idx="8">
                  <c:v>101.00249999999997</c:v>
                </c:pt>
                <c:pt idx="9">
                  <c:v>100.49999999999999</c:v>
                </c:pt>
                <c:pt idx="10">
                  <c:v>100</c:v>
                </c:pt>
                <c:pt idx="11">
                  <c:v>99.5</c:v>
                </c:pt>
                <c:pt idx="12">
                  <c:v>99.002499999999998</c:v>
                </c:pt>
                <c:pt idx="13">
                  <c:v>98.507487499999996</c:v>
                </c:pt>
                <c:pt idx="14">
                  <c:v>98.014950062499992</c:v>
                </c:pt>
                <c:pt idx="15">
                  <c:v>97.52487531218749</c:v>
                </c:pt>
                <c:pt idx="16">
                  <c:v>97.037250935626545</c:v>
                </c:pt>
                <c:pt idx="17">
                  <c:v>96.552064680948419</c:v>
                </c:pt>
                <c:pt idx="18">
                  <c:v>96.069304357543672</c:v>
                </c:pt>
                <c:pt idx="19">
                  <c:v>95.588957835755949</c:v>
                </c:pt>
                <c:pt idx="20">
                  <c:v>95.11101304657717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'MAIN OPEN ECONOMY'!$BM$7:$BM$27</c:f>
              <c:numCache>
                <c:formatCode>0.0%</c:formatCode>
                <c:ptCount val="21"/>
                <c:pt idx="0">
                  <c:v>4.4567725443682121E-2</c:v>
                </c:pt>
                <c:pt idx="1">
                  <c:v>4.0384083127101837E-2</c:v>
                </c:pt>
                <c:pt idx="2">
                  <c:v>3.6221254951400307E-2</c:v>
                </c:pt>
                <c:pt idx="3">
                  <c:v>3.2079137363637447E-2</c:v>
                </c:pt>
                <c:pt idx="4">
                  <c:v>2.7957627326062471E-2</c:v>
                </c:pt>
                <c:pt idx="5">
                  <c:v>2.3856622313550107E-2</c:v>
                </c:pt>
                <c:pt idx="6">
                  <c:v>1.9776020311050271E-2</c:v>
                </c:pt>
                <c:pt idx="7">
                  <c:v>1.5715719811050317E-2</c:v>
                </c:pt>
                <c:pt idx="8">
                  <c:v>1.1675619811050393E-2</c:v>
                </c:pt>
                <c:pt idx="9">
                  <c:v>7.6556198110505225E-3</c:v>
                </c:pt>
                <c:pt idx="10">
                  <c:v>3.6556198110506096E-3</c:v>
                </c:pt>
                <c:pt idx="11">
                  <c:v>-3.4438018894939392E-4</c:v>
                </c:pt>
                <c:pt idx="12">
                  <c:v>-4.3243801889494456E-3</c:v>
                </c:pt>
                <c:pt idx="13">
                  <c:v>-8.284480188949379E-3</c:v>
                </c:pt>
                <c:pt idx="14">
                  <c:v>-1.2224779688949432E-2</c:v>
                </c:pt>
                <c:pt idx="15">
                  <c:v>-1.6145377691449501E-2</c:v>
                </c:pt>
                <c:pt idx="16">
                  <c:v>-2.0046372703937072E-2</c:v>
                </c:pt>
                <c:pt idx="17">
                  <c:v>-2.3927862741361997E-2</c:v>
                </c:pt>
                <c:pt idx="18">
                  <c:v>-2.7789945328600015E-2</c:v>
                </c:pt>
                <c:pt idx="19">
                  <c:v>-3.1632717502901787E-2</c:v>
                </c:pt>
                <c:pt idx="20">
                  <c:v>-3.5456275816331984E-2</c:v>
                </c:pt>
              </c:numCache>
            </c:numRef>
          </c:xVal>
          <c:yVal>
            <c:numRef>
              <c:f>'MAIN OPEN ECONOMY'!$BG$7:$BG$27</c:f>
              <c:numCache>
                <c:formatCode>0.0</c:formatCode>
                <c:ptCount val="21"/>
                <c:pt idx="0">
                  <c:v>105.11401320407893</c:v>
                </c:pt>
                <c:pt idx="1">
                  <c:v>104.59105791450641</c:v>
                </c:pt>
                <c:pt idx="2">
                  <c:v>104.0707043925437</c:v>
                </c:pt>
                <c:pt idx="3">
                  <c:v>103.55293969407334</c:v>
                </c:pt>
                <c:pt idx="4">
                  <c:v>103.03775093937648</c:v>
                </c:pt>
                <c:pt idx="5">
                  <c:v>102.52512531281243</c:v>
                </c:pt>
                <c:pt idx="6">
                  <c:v>102.01505006249995</c:v>
                </c:pt>
                <c:pt idx="7">
                  <c:v>101.50751249999996</c:v>
                </c:pt>
                <c:pt idx="8">
                  <c:v>101.00249999999997</c:v>
                </c:pt>
                <c:pt idx="9">
                  <c:v>100.49999999999999</c:v>
                </c:pt>
                <c:pt idx="10">
                  <c:v>100</c:v>
                </c:pt>
                <c:pt idx="11">
                  <c:v>99.5</c:v>
                </c:pt>
                <c:pt idx="12">
                  <c:v>99.002499999999998</c:v>
                </c:pt>
                <c:pt idx="13">
                  <c:v>98.507487499999996</c:v>
                </c:pt>
                <c:pt idx="14">
                  <c:v>98.014950062499992</c:v>
                </c:pt>
                <c:pt idx="15">
                  <c:v>97.52487531218749</c:v>
                </c:pt>
                <c:pt idx="16">
                  <c:v>97.037250935626545</c:v>
                </c:pt>
                <c:pt idx="17">
                  <c:v>96.552064680948419</c:v>
                </c:pt>
                <c:pt idx="18">
                  <c:v>96.069304357543672</c:v>
                </c:pt>
                <c:pt idx="19">
                  <c:v>95.588957835755949</c:v>
                </c:pt>
                <c:pt idx="20">
                  <c:v>95.11101304657717</c:v>
                </c:pt>
              </c:numCache>
            </c:numRef>
          </c:yVal>
          <c:smooth val="0"/>
        </c:ser>
        <c:ser>
          <c:idx val="3"/>
          <c:order val="3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ECONOMY'!$BI$33:$BI$34</c:f>
              <c:numCache>
                <c:formatCode>0.0%</c:formatCode>
                <c:ptCount val="2"/>
                <c:pt idx="0">
                  <c:v>1.7857142857142804E-2</c:v>
                </c:pt>
                <c:pt idx="1">
                  <c:v>1.7857142857142804E-2</c:v>
                </c:pt>
              </c:numCache>
            </c:numRef>
          </c:xVal>
          <c:yVal>
            <c:numRef>
              <c:f>'MAIN OPEN ECONOMY'!$BJ$33:$BJ$34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100</c:v>
                </c:pt>
              </c:numCache>
            </c:numRef>
          </c:yVal>
          <c:smooth val="0"/>
        </c:ser>
        <c:ser>
          <c:idx val="4"/>
          <c:order val="4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ECONOMY'!$BK$33:$BK$34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1.7857142857142804E-2</c:v>
                </c:pt>
              </c:numCache>
            </c:numRef>
          </c:xVal>
          <c:yVal>
            <c:numRef>
              <c:f>'MAIN OPEN ECONOMY'!$BL$33:$BL$34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5"/>
          <c:order val="5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ECONOMY'!$BI$42:$BI$43</c:f>
              <c:numCache>
                <c:formatCode>0.0%</c:formatCode>
                <c:ptCount val="2"/>
                <c:pt idx="0">
                  <c:v>8.9743716003434712E-3</c:v>
                </c:pt>
                <c:pt idx="1">
                  <c:v>8.9743716003434712E-3</c:v>
                </c:pt>
              </c:numCache>
            </c:numRef>
          </c:xVal>
          <c:yVal>
            <c:numRef>
              <c:f>'MAIN OPEN ECONOMY'!$BJ$42:$BJ$43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100.73197824219868</c:v>
                </c:pt>
              </c:numCache>
            </c:numRef>
          </c:yVal>
          <c:smooth val="0"/>
        </c:ser>
        <c:ser>
          <c:idx val="6"/>
          <c:order val="6"/>
          <c:spPr>
            <a:ln w="12700">
              <a:solidFill>
                <a:prstClr val="black"/>
              </a:solidFill>
              <a:prstDash val="sysDot"/>
            </a:ln>
          </c:spPr>
          <c:marker>
            <c:symbol val="none"/>
          </c:marker>
          <c:xVal>
            <c:numRef>
              <c:f>'MAIN OPEN ECONOMY'!$BK$42:$BK$43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8.9743716003434712E-3</c:v>
                </c:pt>
              </c:numCache>
            </c:numRef>
          </c:xVal>
          <c:yVal>
            <c:numRef>
              <c:f>'MAIN OPEN ECONOMY'!$BL$42:$BL$43</c:f>
              <c:numCache>
                <c:formatCode>0.0</c:formatCode>
                <c:ptCount val="2"/>
                <c:pt idx="0">
                  <c:v>100.73197824219868</c:v>
                </c:pt>
                <c:pt idx="1">
                  <c:v>100.73197824219868</c:v>
                </c:pt>
              </c:numCache>
            </c:numRef>
          </c:yVal>
          <c:smooth val="0"/>
        </c:ser>
        <c:ser>
          <c:idx val="7"/>
          <c:order val="7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ECONOMY'!$BI$52:$BI$53</c:f>
              <c:numCache>
                <c:formatCode>0.0%</c:formatCode>
                <c:ptCount val="2"/>
                <c:pt idx="0">
                  <c:v>1.8346029201259596E-2</c:v>
                </c:pt>
                <c:pt idx="1">
                  <c:v>1.8346029201259596E-2</c:v>
                </c:pt>
              </c:numCache>
            </c:numRef>
          </c:xVal>
          <c:yVal>
            <c:numRef>
              <c:f>'MAIN OPEN ECONOMY'!$BJ$52:$BJ$53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101.83630117377614</c:v>
                </c:pt>
              </c:numCache>
            </c:numRef>
          </c:yVal>
          <c:smooth val="0"/>
        </c:ser>
        <c:ser>
          <c:idx val="8"/>
          <c:order val="8"/>
          <c:spPr>
            <a:ln w="127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'MAIN OPEN ECONOMY'!$BK$52:$BK$53</c:f>
              <c:numCache>
                <c:formatCode>0.0%</c:formatCode>
                <c:ptCount val="2"/>
                <c:pt idx="0" formatCode="0%">
                  <c:v>-0.1</c:v>
                </c:pt>
                <c:pt idx="1">
                  <c:v>1.8346029201259596E-2</c:v>
                </c:pt>
              </c:numCache>
            </c:numRef>
          </c:xVal>
          <c:yVal>
            <c:numRef>
              <c:f>'MAIN OPEN ECONOMY'!$BL$52:$BL$53</c:f>
              <c:numCache>
                <c:formatCode>0.0</c:formatCode>
                <c:ptCount val="2"/>
                <c:pt idx="0">
                  <c:v>101.83630117377614</c:v>
                </c:pt>
                <c:pt idx="1">
                  <c:v>101.83630117377614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'MAIN OPEN ECONOMY'!$BI$31</c:f>
              <c:strCache>
                <c:ptCount val="1"/>
                <c:pt idx="0">
                  <c:v>base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949161347862428E-2"/>
                  <c:y val="4.6391745045580805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ECONOMY'!$BI$36:$BI$37</c:f>
              <c:numCache>
                <c:formatCode>0.0%</c:formatCode>
                <c:ptCount val="2"/>
                <c:pt idx="0">
                  <c:v>1.7857142857142804E-2</c:v>
                </c:pt>
                <c:pt idx="1">
                  <c:v>1.7857142857142804E-2</c:v>
                </c:pt>
              </c:numCache>
            </c:numRef>
          </c:xVal>
          <c:yVal>
            <c:numRef>
              <c:f>'MAIN OPEN ECONOMY'!$BJ$36:$BJ$37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'MAIN OPEN ECONOMY'!$BI$40</c:f>
              <c:strCache>
                <c:ptCount val="1"/>
                <c:pt idx="0">
                  <c:v>(i)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'MAIN OPEN ECONOMY'!$BI$45:$BI$46</c:f>
              <c:numCache>
                <c:formatCode>0.0%</c:formatCode>
                <c:ptCount val="2"/>
                <c:pt idx="0">
                  <c:v>8.9743716003434712E-3</c:v>
                </c:pt>
                <c:pt idx="1">
                  <c:v>8.9743716003434712E-3</c:v>
                </c:pt>
              </c:numCache>
            </c:numRef>
          </c:xVal>
          <c:yVal>
            <c:numRef>
              <c:f>'MAIN OPEN ECONOMY'!$BJ$45:$BJ$46</c:f>
              <c:numCache>
                <c:formatCode>0.0</c:formatCode>
                <c:ptCount val="2"/>
                <c:pt idx="0">
                  <c:v>100.73197824219868</c:v>
                </c:pt>
                <c:pt idx="1">
                  <c:v>100.73197824219868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'MAIN OPEN ECONOMY'!$BI$50</c:f>
              <c:strCache>
                <c:ptCount val="1"/>
                <c:pt idx="0">
                  <c:v>(ii)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952904555883965E-2"/>
                  <c:y val="3.24738562425754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'MAIN OPEN ECONOMY'!$BI$55:$BI$56</c:f>
              <c:numCache>
                <c:formatCode>0.0%</c:formatCode>
                <c:ptCount val="2"/>
                <c:pt idx="0">
                  <c:v>1.8346029201259596E-2</c:v>
                </c:pt>
                <c:pt idx="1">
                  <c:v>1.8346029201259596E-2</c:v>
                </c:pt>
              </c:numCache>
            </c:numRef>
          </c:xVal>
          <c:yVal>
            <c:numRef>
              <c:f>'MAIN OPEN ECONOMY'!$BJ$55:$BJ$56</c:f>
              <c:numCache>
                <c:formatCode>0.0</c:formatCode>
                <c:ptCount val="2"/>
                <c:pt idx="0">
                  <c:v>101.83630117377614</c:v>
                </c:pt>
                <c:pt idx="1">
                  <c:v>101.83630117377614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1777320"/>
        <c:axId val="421775752"/>
      </c:scatterChart>
      <c:valAx>
        <c:axId val="421777320"/>
        <c:scaling>
          <c:orientation val="minMax"/>
          <c:max val="7.0000000000000021E-2"/>
          <c:min val="-7.0000000000000021E-2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Net exports (in percent of potential</a:t>
                </a:r>
                <a:r>
                  <a:rPr lang="en-US" b="0" baseline="0"/>
                  <a:t> output)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6931171364306933"/>
              <c:y val="0.88770844250717507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75752"/>
        <c:crosses val="autoZero"/>
        <c:crossBetween val="midCat"/>
      </c:valAx>
      <c:valAx>
        <c:axId val="421775752"/>
        <c:scaling>
          <c:orientation val="minMax"/>
          <c:max val="106"/>
          <c:min val="9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Real exchange rate index </a:t>
                </a:r>
              </a:p>
              <a:p>
                <a:pPr>
                  <a:defRPr sz="800" b="0"/>
                </a:pPr>
                <a:r>
                  <a:rPr lang="en-US" sz="800" b="0"/>
                  <a:t>(app -, base=100)</a:t>
                </a:r>
              </a:p>
            </c:rich>
          </c:tx>
          <c:layout>
            <c:manualLayout>
              <c:xMode val="edge"/>
              <c:yMode val="edge"/>
              <c:x val="3.361261807752884E-3"/>
              <c:y val="0.26151886697507193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777320"/>
        <c:crossesAt val="-7.0000000000000021E-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276981</xdr:colOff>
      <xdr:row>17</xdr:row>
      <xdr:rowOff>56673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175260</xdr:rowOff>
    </xdr:from>
    <xdr:to>
      <xdr:col>8</xdr:col>
      <xdr:colOff>330483</xdr:colOff>
      <xdr:row>33</xdr:row>
      <xdr:rowOff>55225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34</xdr:row>
      <xdr:rowOff>0</xdr:rowOff>
    </xdr:from>
    <xdr:to>
      <xdr:col>8</xdr:col>
      <xdr:colOff>312420</xdr:colOff>
      <xdr:row>49</xdr:row>
      <xdr:rowOff>164093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2163911</xdr:colOff>
      <xdr:row>57</xdr:row>
      <xdr:rowOff>113669</xdr:rowOff>
    </xdr:from>
    <xdr:to>
      <xdr:col>17</xdr:col>
      <xdr:colOff>25260</xdr:colOff>
      <xdr:row>59</xdr:row>
      <xdr:rowOff>84199</xdr:rowOff>
    </xdr:to>
    <xdr:cxnSp macro="">
      <xdr:nvCxnSpPr>
        <xdr:cNvPr id="3" name="Straight Arrow Connector 2"/>
        <xdr:cNvCxnSpPr/>
      </xdr:nvCxnSpPr>
      <xdr:spPr>
        <a:xfrm flipV="1">
          <a:off x="12612994" y="6655923"/>
          <a:ext cx="660962" cy="3325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305576</xdr:colOff>
      <xdr:row>2</xdr:row>
      <xdr:rowOff>201258</xdr:rowOff>
    </xdr:from>
    <xdr:to>
      <xdr:col>29</xdr:col>
      <xdr:colOff>582557</xdr:colOff>
      <xdr:row>17</xdr:row>
      <xdr:rowOff>138188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308769</xdr:colOff>
      <xdr:row>18</xdr:row>
      <xdr:rowOff>93646</xdr:rowOff>
    </xdr:from>
    <xdr:to>
      <xdr:col>30</xdr:col>
      <xdr:colOff>6792</xdr:colOff>
      <xdr:row>33</xdr:row>
      <xdr:rowOff>123834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301777</xdr:colOff>
      <xdr:row>34</xdr:row>
      <xdr:rowOff>96156</xdr:rowOff>
    </xdr:from>
    <xdr:to>
      <xdr:col>30</xdr:col>
      <xdr:colOff>1</xdr:colOff>
      <xdr:row>50</xdr:row>
      <xdr:rowOff>20764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7</xdr:row>
          <xdr:rowOff>22860</xdr:rowOff>
        </xdr:from>
        <xdr:to>
          <xdr:col>5</xdr:col>
          <xdr:colOff>381000</xdr:colOff>
          <xdr:row>7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4</xdr:row>
          <xdr:rowOff>22860</xdr:rowOff>
        </xdr:from>
        <xdr:to>
          <xdr:col>9</xdr:col>
          <xdr:colOff>289560</xdr:colOff>
          <xdr:row>6</xdr:row>
          <xdr:rowOff>7620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144780</xdr:colOff>
          <xdr:row>7</xdr:row>
          <xdr:rowOff>22860</xdr:rowOff>
        </xdr:from>
        <xdr:to>
          <xdr:col>7</xdr:col>
          <xdr:colOff>693420</xdr:colOff>
          <xdr:row>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365760</xdr:colOff>
          <xdr:row>7</xdr:row>
          <xdr:rowOff>30480</xdr:rowOff>
        </xdr:from>
        <xdr:to>
          <xdr:col>10</xdr:col>
          <xdr:colOff>708660</xdr:colOff>
          <xdr:row>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350520</xdr:colOff>
          <xdr:row>12</xdr:row>
          <xdr:rowOff>160020</xdr:rowOff>
        </xdr:from>
        <xdr:to>
          <xdr:col>6</xdr:col>
          <xdr:colOff>563880</xdr:colOff>
          <xdr:row>14</xdr:row>
          <xdr:rowOff>30480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16</xdr:row>
          <xdr:rowOff>38100</xdr:rowOff>
        </xdr:from>
        <xdr:to>
          <xdr:col>5</xdr:col>
          <xdr:colOff>525780</xdr:colOff>
          <xdr:row>17</xdr:row>
          <xdr:rowOff>121920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327660</xdr:colOff>
          <xdr:row>18</xdr:row>
          <xdr:rowOff>22860</xdr:rowOff>
        </xdr:from>
        <xdr:to>
          <xdr:col>4</xdr:col>
          <xdr:colOff>480060</xdr:colOff>
          <xdr:row>18</xdr:row>
          <xdr:rowOff>175260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42</xdr:row>
          <xdr:rowOff>160020</xdr:rowOff>
        </xdr:from>
        <xdr:to>
          <xdr:col>6</xdr:col>
          <xdr:colOff>144780</xdr:colOff>
          <xdr:row>44</xdr:row>
          <xdr:rowOff>7620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19</xdr:row>
          <xdr:rowOff>30480</xdr:rowOff>
        </xdr:from>
        <xdr:to>
          <xdr:col>0</xdr:col>
          <xdr:colOff>373380</xdr:colOff>
          <xdr:row>20</xdr:row>
          <xdr:rowOff>7620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18</xdr:row>
          <xdr:rowOff>7620</xdr:rowOff>
        </xdr:from>
        <xdr:to>
          <xdr:col>0</xdr:col>
          <xdr:colOff>403860</xdr:colOff>
          <xdr:row>19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57</xdr:row>
          <xdr:rowOff>22860</xdr:rowOff>
        </xdr:from>
        <xdr:to>
          <xdr:col>4</xdr:col>
          <xdr:colOff>381000</xdr:colOff>
          <xdr:row>57</xdr:row>
          <xdr:rowOff>175260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63</xdr:row>
          <xdr:rowOff>7620</xdr:rowOff>
        </xdr:from>
        <xdr:to>
          <xdr:col>4</xdr:col>
          <xdr:colOff>457200</xdr:colOff>
          <xdr:row>63</xdr:row>
          <xdr:rowOff>175260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51</xdr:row>
          <xdr:rowOff>22860</xdr:rowOff>
        </xdr:from>
        <xdr:to>
          <xdr:col>4</xdr:col>
          <xdr:colOff>403860</xdr:colOff>
          <xdr:row>51</xdr:row>
          <xdr:rowOff>175260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236220</xdr:colOff>
          <xdr:row>51</xdr:row>
          <xdr:rowOff>22860</xdr:rowOff>
        </xdr:from>
        <xdr:to>
          <xdr:col>6</xdr:col>
          <xdr:colOff>441960</xdr:colOff>
          <xdr:row>52</xdr:row>
          <xdr:rowOff>22860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297180</xdr:colOff>
          <xdr:row>62</xdr:row>
          <xdr:rowOff>175260</xdr:rowOff>
        </xdr:from>
        <xdr:to>
          <xdr:col>7</xdr:col>
          <xdr:colOff>655320</xdr:colOff>
          <xdr:row>64</xdr:row>
          <xdr:rowOff>121920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62</xdr:row>
          <xdr:rowOff>152400</xdr:rowOff>
        </xdr:from>
        <xdr:to>
          <xdr:col>9</xdr:col>
          <xdr:colOff>678180</xdr:colOff>
          <xdr:row>64</xdr:row>
          <xdr:rowOff>83820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3</xdr:row>
          <xdr:rowOff>22860</xdr:rowOff>
        </xdr:from>
        <xdr:to>
          <xdr:col>16</xdr:col>
          <xdr:colOff>289560</xdr:colOff>
          <xdr:row>3</xdr:row>
          <xdr:rowOff>160020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144780</xdr:colOff>
          <xdr:row>4</xdr:row>
          <xdr:rowOff>22860</xdr:rowOff>
        </xdr:from>
        <xdr:to>
          <xdr:col>16</xdr:col>
          <xdr:colOff>274320</xdr:colOff>
          <xdr:row>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7</xdr:row>
          <xdr:rowOff>30480</xdr:rowOff>
        </xdr:from>
        <xdr:to>
          <xdr:col>16</xdr:col>
          <xdr:colOff>289560</xdr:colOff>
          <xdr:row>7</xdr:row>
          <xdr:rowOff>190500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30480</xdr:colOff>
          <xdr:row>8</xdr:row>
          <xdr:rowOff>22860</xdr:rowOff>
        </xdr:from>
        <xdr:to>
          <xdr:col>16</xdr:col>
          <xdr:colOff>411480</xdr:colOff>
          <xdr:row>8</xdr:row>
          <xdr:rowOff>175260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11</xdr:row>
          <xdr:rowOff>22860</xdr:rowOff>
        </xdr:from>
        <xdr:to>
          <xdr:col>16</xdr:col>
          <xdr:colOff>327660</xdr:colOff>
          <xdr:row>11</xdr:row>
          <xdr:rowOff>175260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21</xdr:row>
          <xdr:rowOff>160020</xdr:rowOff>
        </xdr:from>
        <xdr:to>
          <xdr:col>8</xdr:col>
          <xdr:colOff>723900</xdr:colOff>
          <xdr:row>24</xdr:row>
          <xdr:rowOff>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708660</xdr:colOff>
          <xdr:row>40</xdr:row>
          <xdr:rowOff>83820</xdr:rowOff>
        </xdr:from>
        <xdr:to>
          <xdr:col>1</xdr:col>
          <xdr:colOff>1859280</xdr:colOff>
          <xdr:row>42</xdr:row>
          <xdr:rowOff>76200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43</xdr:row>
          <xdr:rowOff>99060</xdr:rowOff>
        </xdr:from>
        <xdr:to>
          <xdr:col>3</xdr:col>
          <xdr:colOff>76200</xdr:colOff>
          <xdr:row>46</xdr:row>
          <xdr:rowOff>7620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693420</xdr:colOff>
          <xdr:row>27</xdr:row>
          <xdr:rowOff>60960</xdr:rowOff>
        </xdr:from>
        <xdr:to>
          <xdr:col>2</xdr:col>
          <xdr:colOff>289560</xdr:colOff>
          <xdr:row>28</xdr:row>
          <xdr:rowOff>121920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464820</xdr:colOff>
          <xdr:row>25</xdr:row>
          <xdr:rowOff>0</xdr:rowOff>
        </xdr:from>
        <xdr:to>
          <xdr:col>4</xdr:col>
          <xdr:colOff>647700</xdr:colOff>
          <xdr:row>26</xdr:row>
          <xdr:rowOff>22860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25</xdr:row>
          <xdr:rowOff>30480</xdr:rowOff>
        </xdr:from>
        <xdr:to>
          <xdr:col>7</xdr:col>
          <xdr:colOff>533400</xdr:colOff>
          <xdr:row>26</xdr:row>
          <xdr:rowOff>0</xdr:rowOff>
        </xdr:to>
        <xdr:sp macro="" textlink="">
          <xdr:nvSpPr>
            <xdr:cNvPr id="1084" name="Object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251460</xdr:colOff>
          <xdr:row>30</xdr:row>
          <xdr:rowOff>175260</xdr:rowOff>
        </xdr:from>
        <xdr:to>
          <xdr:col>4</xdr:col>
          <xdr:colOff>632460</xdr:colOff>
          <xdr:row>32</xdr:row>
          <xdr:rowOff>22860</xdr:rowOff>
        </xdr:to>
        <xdr:sp macro="" textlink="">
          <xdr:nvSpPr>
            <xdr:cNvPr id="1085" name="Object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28</xdr:row>
          <xdr:rowOff>60960</xdr:rowOff>
        </xdr:from>
        <xdr:to>
          <xdr:col>9</xdr:col>
          <xdr:colOff>685800</xdr:colOff>
          <xdr:row>30</xdr:row>
          <xdr:rowOff>99060</xdr:rowOff>
        </xdr:to>
        <xdr:sp macro="" textlink="">
          <xdr:nvSpPr>
            <xdr:cNvPr id="1086" name="Object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31</xdr:row>
          <xdr:rowOff>0</xdr:rowOff>
        </xdr:from>
        <xdr:to>
          <xdr:col>7</xdr:col>
          <xdr:colOff>457200</xdr:colOff>
          <xdr:row>32</xdr:row>
          <xdr:rowOff>60960</xdr:rowOff>
        </xdr:to>
        <xdr:sp macro="" textlink="">
          <xdr:nvSpPr>
            <xdr:cNvPr id="1087" name="Object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2971800</xdr:colOff>
          <xdr:row>15</xdr:row>
          <xdr:rowOff>0</xdr:rowOff>
        </xdr:from>
        <xdr:to>
          <xdr:col>16</xdr:col>
          <xdr:colOff>411480</xdr:colOff>
          <xdr:row>16</xdr:row>
          <xdr:rowOff>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2994660</xdr:colOff>
          <xdr:row>16</xdr:row>
          <xdr:rowOff>60960</xdr:rowOff>
        </xdr:from>
        <xdr:to>
          <xdr:col>16</xdr:col>
          <xdr:colOff>289560</xdr:colOff>
          <xdr:row>17</xdr:row>
          <xdr:rowOff>45720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</xdr:colOff>
          <xdr:row>68</xdr:row>
          <xdr:rowOff>83820</xdr:rowOff>
        </xdr:from>
        <xdr:to>
          <xdr:col>11</xdr:col>
          <xdr:colOff>251460</xdr:colOff>
          <xdr:row>72</xdr:row>
          <xdr:rowOff>68580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75</xdr:row>
          <xdr:rowOff>76200</xdr:rowOff>
        </xdr:from>
        <xdr:to>
          <xdr:col>8</xdr:col>
          <xdr:colOff>365760</xdr:colOff>
          <xdr:row>78</xdr:row>
          <xdr:rowOff>0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60</xdr:row>
          <xdr:rowOff>22860</xdr:rowOff>
        </xdr:from>
        <xdr:to>
          <xdr:col>10</xdr:col>
          <xdr:colOff>457200</xdr:colOff>
          <xdr:row>61</xdr:row>
          <xdr:rowOff>121920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54</xdr:row>
          <xdr:rowOff>68580</xdr:rowOff>
        </xdr:from>
        <xdr:to>
          <xdr:col>7</xdr:col>
          <xdr:colOff>99060</xdr:colOff>
          <xdr:row>56</xdr:row>
          <xdr:rowOff>60960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</xdr:colOff>
          <xdr:row>48</xdr:row>
          <xdr:rowOff>99060</xdr:rowOff>
        </xdr:from>
        <xdr:to>
          <xdr:col>9</xdr:col>
          <xdr:colOff>251460</xdr:colOff>
          <xdr:row>50</xdr:row>
          <xdr:rowOff>7620</xdr:rowOff>
        </xdr:to>
        <xdr:sp macro="" textlink="">
          <xdr:nvSpPr>
            <xdr:cNvPr id="1100" name="Object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27</xdr:row>
          <xdr:rowOff>121920</xdr:rowOff>
        </xdr:from>
        <xdr:to>
          <xdr:col>16</xdr:col>
          <xdr:colOff>175260</xdr:colOff>
          <xdr:row>29</xdr:row>
          <xdr:rowOff>137160</xdr:rowOff>
        </xdr:to>
        <xdr:sp macro="" textlink="">
          <xdr:nvSpPr>
            <xdr:cNvPr id="1103" name="Object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33</xdr:row>
          <xdr:rowOff>22860</xdr:rowOff>
        </xdr:from>
        <xdr:to>
          <xdr:col>15</xdr:col>
          <xdr:colOff>2133600</xdr:colOff>
          <xdr:row>35</xdr:row>
          <xdr:rowOff>22860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38</xdr:row>
          <xdr:rowOff>22860</xdr:rowOff>
        </xdr:from>
        <xdr:to>
          <xdr:col>15</xdr:col>
          <xdr:colOff>1859280</xdr:colOff>
          <xdr:row>41</xdr:row>
          <xdr:rowOff>45720</xdr:rowOff>
        </xdr:to>
        <xdr:sp macro="" textlink="">
          <xdr:nvSpPr>
            <xdr:cNvPr id="1105" name="Object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43</xdr:row>
          <xdr:rowOff>83820</xdr:rowOff>
        </xdr:from>
        <xdr:to>
          <xdr:col>16</xdr:col>
          <xdr:colOff>114300</xdr:colOff>
          <xdr:row>45</xdr:row>
          <xdr:rowOff>137160</xdr:rowOff>
        </xdr:to>
        <xdr:sp macro="" textlink="">
          <xdr:nvSpPr>
            <xdr:cNvPr id="1106" name="Object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48</xdr:row>
          <xdr:rowOff>0</xdr:rowOff>
        </xdr:from>
        <xdr:to>
          <xdr:col>16</xdr:col>
          <xdr:colOff>251460</xdr:colOff>
          <xdr:row>50</xdr:row>
          <xdr:rowOff>76200</xdr:rowOff>
        </xdr:to>
        <xdr:sp macro="" textlink="">
          <xdr:nvSpPr>
            <xdr:cNvPr id="1107" name="Object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53</xdr:row>
          <xdr:rowOff>68580</xdr:rowOff>
        </xdr:from>
        <xdr:to>
          <xdr:col>16</xdr:col>
          <xdr:colOff>99060</xdr:colOff>
          <xdr:row>56</xdr:row>
          <xdr:rowOff>76200</xdr:rowOff>
        </xdr:to>
        <xdr:sp macro="" textlink="">
          <xdr:nvSpPr>
            <xdr:cNvPr id="1108" name="Object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66</xdr:row>
          <xdr:rowOff>76200</xdr:rowOff>
        </xdr:from>
        <xdr:to>
          <xdr:col>15</xdr:col>
          <xdr:colOff>1836420</xdr:colOff>
          <xdr:row>68</xdr:row>
          <xdr:rowOff>76200</xdr:rowOff>
        </xdr:to>
        <xdr:sp macro="" textlink="">
          <xdr:nvSpPr>
            <xdr:cNvPr id="1110" name="Object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72</xdr:row>
          <xdr:rowOff>152400</xdr:rowOff>
        </xdr:from>
        <xdr:to>
          <xdr:col>18</xdr:col>
          <xdr:colOff>556260</xdr:colOff>
          <xdr:row>74</xdr:row>
          <xdr:rowOff>60960</xdr:rowOff>
        </xdr:to>
        <xdr:sp macro="" textlink="">
          <xdr:nvSpPr>
            <xdr:cNvPr id="1111" name="Object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44</xdr:row>
          <xdr:rowOff>175260</xdr:rowOff>
        </xdr:from>
        <xdr:to>
          <xdr:col>6</xdr:col>
          <xdr:colOff>121920</xdr:colOff>
          <xdr:row>46</xdr:row>
          <xdr:rowOff>30480</xdr:rowOff>
        </xdr:to>
        <xdr:sp macro="" textlink="">
          <xdr:nvSpPr>
            <xdr:cNvPr id="1113" name="Object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0</xdr:rowOff>
        </xdr:from>
        <xdr:to>
          <xdr:col>7</xdr:col>
          <xdr:colOff>137160</xdr:colOff>
          <xdr:row>57</xdr:row>
          <xdr:rowOff>175260</xdr:rowOff>
        </xdr:to>
        <xdr:sp macro="" textlink="">
          <xdr:nvSpPr>
            <xdr:cNvPr id="1114" name="Object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65</xdr:row>
          <xdr:rowOff>22860</xdr:rowOff>
        </xdr:from>
        <xdr:to>
          <xdr:col>5</xdr:col>
          <xdr:colOff>563880</xdr:colOff>
          <xdr:row>66</xdr:row>
          <xdr:rowOff>60960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121920</xdr:colOff>
          <xdr:row>10</xdr:row>
          <xdr:rowOff>121920</xdr:rowOff>
        </xdr:from>
        <xdr:to>
          <xdr:col>6</xdr:col>
          <xdr:colOff>464820</xdr:colOff>
          <xdr:row>12</xdr:row>
          <xdr:rowOff>7620</xdr:rowOff>
        </xdr:to>
        <xdr:sp macro="" textlink="">
          <xdr:nvSpPr>
            <xdr:cNvPr id="1154" name="Object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</xdr:colOff>
          <xdr:row>12</xdr:row>
          <xdr:rowOff>137160</xdr:rowOff>
        </xdr:from>
        <xdr:to>
          <xdr:col>4</xdr:col>
          <xdr:colOff>198120</xdr:colOff>
          <xdr:row>13</xdr:row>
          <xdr:rowOff>99060</xdr:rowOff>
        </xdr:to>
        <xdr:sp macro="" textlink="">
          <xdr:nvSpPr>
            <xdr:cNvPr id="1155" name="Object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426720</xdr:colOff>
          <xdr:row>42</xdr:row>
          <xdr:rowOff>228600</xdr:rowOff>
        </xdr:from>
        <xdr:to>
          <xdr:col>9</xdr:col>
          <xdr:colOff>670560</xdr:colOff>
          <xdr:row>44</xdr:row>
          <xdr:rowOff>30480</xdr:rowOff>
        </xdr:to>
        <xdr:sp macro="" textlink="">
          <xdr:nvSpPr>
            <xdr:cNvPr id="1156" name="Object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36</xdr:row>
          <xdr:rowOff>60960</xdr:rowOff>
        </xdr:from>
        <xdr:to>
          <xdr:col>9</xdr:col>
          <xdr:colOff>457200</xdr:colOff>
          <xdr:row>38</xdr:row>
          <xdr:rowOff>137160</xdr:rowOff>
        </xdr:to>
        <xdr:sp macro="" textlink="">
          <xdr:nvSpPr>
            <xdr:cNvPr id="1172" name="Object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39</xdr:row>
          <xdr:rowOff>45720</xdr:rowOff>
        </xdr:from>
        <xdr:to>
          <xdr:col>11</xdr:col>
          <xdr:colOff>411480</xdr:colOff>
          <xdr:row>41</xdr:row>
          <xdr:rowOff>137160</xdr:rowOff>
        </xdr:to>
        <xdr:sp macro="" textlink="">
          <xdr:nvSpPr>
            <xdr:cNvPr id="1173" name="Object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45720</xdr:colOff>
          <xdr:row>59</xdr:row>
          <xdr:rowOff>114300</xdr:rowOff>
        </xdr:from>
        <xdr:to>
          <xdr:col>19</xdr:col>
          <xdr:colOff>182880</xdr:colOff>
          <xdr:row>63</xdr:row>
          <xdr:rowOff>106680</xdr:rowOff>
        </xdr:to>
        <xdr:sp macro="" textlink="">
          <xdr:nvSpPr>
            <xdr:cNvPr id="1174" name="Object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</xdr:colOff>
          <xdr:row>0</xdr:row>
          <xdr:rowOff>30480</xdr:rowOff>
        </xdr:from>
        <xdr:to>
          <xdr:col>41</xdr:col>
          <xdr:colOff>228600</xdr:colOff>
          <xdr:row>1</xdr:row>
          <xdr:rowOff>160020</xdr:rowOff>
        </xdr:to>
        <xdr:sp macro="" textlink="">
          <xdr:nvSpPr>
            <xdr:cNvPr id="1176" name="Object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22860</xdr:colOff>
          <xdr:row>0</xdr:row>
          <xdr:rowOff>60960</xdr:rowOff>
        </xdr:from>
        <xdr:to>
          <xdr:col>49</xdr:col>
          <xdr:colOff>220980</xdr:colOff>
          <xdr:row>1</xdr:row>
          <xdr:rowOff>137160</xdr:rowOff>
        </xdr:to>
        <xdr:sp macro="" textlink="">
          <xdr:nvSpPr>
            <xdr:cNvPr id="1177" name="Object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22860</xdr:colOff>
          <xdr:row>0</xdr:row>
          <xdr:rowOff>22860</xdr:rowOff>
        </xdr:from>
        <xdr:to>
          <xdr:col>53</xdr:col>
          <xdr:colOff>480060</xdr:colOff>
          <xdr:row>1</xdr:row>
          <xdr:rowOff>152400</xdr:rowOff>
        </xdr:to>
        <xdr:sp macro="" textlink="">
          <xdr:nvSpPr>
            <xdr:cNvPr id="1178" name="Object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</xdr:colOff>
          <xdr:row>76</xdr:row>
          <xdr:rowOff>175260</xdr:rowOff>
        </xdr:from>
        <xdr:to>
          <xdr:col>19</xdr:col>
          <xdr:colOff>541020</xdr:colOff>
          <xdr:row>79</xdr:row>
          <xdr:rowOff>38100</xdr:rowOff>
        </xdr:to>
        <xdr:sp macro="" textlink="">
          <xdr:nvSpPr>
            <xdr:cNvPr id="1179" name="Object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82</xdr:row>
          <xdr:rowOff>137160</xdr:rowOff>
        </xdr:from>
        <xdr:to>
          <xdr:col>19</xdr:col>
          <xdr:colOff>68580</xdr:colOff>
          <xdr:row>85</xdr:row>
          <xdr:rowOff>7620</xdr:rowOff>
        </xdr:to>
        <xdr:sp macro="" textlink="">
          <xdr:nvSpPr>
            <xdr:cNvPr id="1180" name="Object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45720</xdr:colOff>
          <xdr:row>0</xdr:row>
          <xdr:rowOff>76200</xdr:rowOff>
        </xdr:from>
        <xdr:to>
          <xdr:col>66</xdr:col>
          <xdr:colOff>312420</xdr:colOff>
          <xdr:row>1</xdr:row>
          <xdr:rowOff>144780</xdr:rowOff>
        </xdr:to>
        <xdr:sp macro="" textlink="">
          <xdr:nvSpPr>
            <xdr:cNvPr id="1181" name="Object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12.bin"/><Relationship Id="rId117" Type="http://schemas.openxmlformats.org/officeDocument/2006/relationships/oleObject" Target="../embeddings/oleObject59.bin"/><Relationship Id="rId21" Type="http://schemas.openxmlformats.org/officeDocument/2006/relationships/image" Target="../media/image9.emf"/><Relationship Id="rId42" Type="http://schemas.openxmlformats.org/officeDocument/2006/relationships/oleObject" Target="../embeddings/oleObject20.bin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oleObject" Target="../embeddings/oleObject33.bin"/><Relationship Id="rId84" Type="http://schemas.openxmlformats.org/officeDocument/2006/relationships/oleObject" Target="../embeddings/oleObject41.bin"/><Relationship Id="rId89" Type="http://schemas.openxmlformats.org/officeDocument/2006/relationships/image" Target="../media/image43.emf"/><Relationship Id="rId112" Type="http://schemas.openxmlformats.org/officeDocument/2006/relationships/oleObject" Target="../embeddings/oleObject55.bin"/><Relationship Id="rId16" Type="http://schemas.openxmlformats.org/officeDocument/2006/relationships/oleObject" Target="../embeddings/oleObject7.bin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32" Type="http://schemas.openxmlformats.org/officeDocument/2006/relationships/oleObject" Target="../embeddings/oleObject15.bin"/><Relationship Id="rId37" Type="http://schemas.openxmlformats.org/officeDocument/2006/relationships/image" Target="../media/image17.emf"/><Relationship Id="rId40" Type="http://schemas.openxmlformats.org/officeDocument/2006/relationships/oleObject" Target="../embeddings/oleObject19.bin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oleObject" Target="../embeddings/oleObject28.bin"/><Relationship Id="rId66" Type="http://schemas.openxmlformats.org/officeDocument/2006/relationships/oleObject" Target="../embeddings/oleObject32.bin"/><Relationship Id="rId74" Type="http://schemas.openxmlformats.org/officeDocument/2006/relationships/oleObject" Target="../embeddings/oleObject36.bin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oleObject" Target="../embeddings/oleObject50.bin"/><Relationship Id="rId110" Type="http://schemas.openxmlformats.org/officeDocument/2006/relationships/oleObject" Target="../embeddings/oleObject54.bin"/><Relationship Id="rId115" Type="http://schemas.openxmlformats.org/officeDocument/2006/relationships/oleObject" Target="../embeddings/oleObject58.bin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oleObject" Target="../embeddings/oleObject40.bin"/><Relationship Id="rId90" Type="http://schemas.openxmlformats.org/officeDocument/2006/relationships/oleObject" Target="../embeddings/oleObject44.bin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oleObject" Target="../embeddings/oleObject23.bin"/><Relationship Id="rId56" Type="http://schemas.openxmlformats.org/officeDocument/2006/relationships/oleObject" Target="../embeddings/oleObject27.bin"/><Relationship Id="rId64" Type="http://schemas.openxmlformats.org/officeDocument/2006/relationships/oleObject" Target="../embeddings/oleObject31.bin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oleObject" Target="../embeddings/oleObject49.bin"/><Relationship Id="rId105" Type="http://schemas.openxmlformats.org/officeDocument/2006/relationships/image" Target="../media/image51.emf"/><Relationship Id="rId113" Type="http://schemas.openxmlformats.org/officeDocument/2006/relationships/oleObject" Target="../embeddings/oleObject56.bin"/><Relationship Id="rId118" Type="http://schemas.openxmlformats.org/officeDocument/2006/relationships/image" Target="../media/image56.emf"/><Relationship Id="rId8" Type="http://schemas.openxmlformats.org/officeDocument/2006/relationships/oleObject" Target="../embeddings/oleObject3.bin"/><Relationship Id="rId51" Type="http://schemas.openxmlformats.org/officeDocument/2006/relationships/image" Target="../media/image24.emf"/><Relationship Id="rId72" Type="http://schemas.openxmlformats.org/officeDocument/2006/relationships/oleObject" Target="../embeddings/oleObject35.bin"/><Relationship Id="rId80" Type="http://schemas.openxmlformats.org/officeDocument/2006/relationships/oleObject" Target="../embeddings/oleObject39.bin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oleObject" Target="../embeddings/oleObject48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oleObject" Target="../embeddings/oleObject18.bin"/><Relationship Id="rId46" Type="http://schemas.openxmlformats.org/officeDocument/2006/relationships/oleObject" Target="../embeddings/oleObject22.bin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oleObject" Target="../embeddings/oleObject53.bin"/><Relationship Id="rId116" Type="http://schemas.openxmlformats.org/officeDocument/2006/relationships/image" Target="../media/image55.emf"/><Relationship Id="rId20" Type="http://schemas.openxmlformats.org/officeDocument/2006/relationships/oleObject" Target="../embeddings/oleObject9.bin"/><Relationship Id="rId41" Type="http://schemas.openxmlformats.org/officeDocument/2006/relationships/image" Target="../media/image19.emf"/><Relationship Id="rId54" Type="http://schemas.openxmlformats.org/officeDocument/2006/relationships/oleObject" Target="../embeddings/oleObject26.bin"/><Relationship Id="rId62" Type="http://schemas.openxmlformats.org/officeDocument/2006/relationships/oleObject" Target="../embeddings/oleObject30.bin"/><Relationship Id="rId70" Type="http://schemas.openxmlformats.org/officeDocument/2006/relationships/oleObject" Target="../embeddings/oleObject34.bin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oleObject" Target="../embeddings/oleObject43.bin"/><Relationship Id="rId91" Type="http://schemas.openxmlformats.org/officeDocument/2006/relationships/image" Target="../media/image44.emf"/><Relationship Id="rId96" Type="http://schemas.openxmlformats.org/officeDocument/2006/relationships/oleObject" Target="../embeddings/oleObject47.bin"/><Relationship Id="rId111" Type="http://schemas.openxmlformats.org/officeDocument/2006/relationships/image" Target="../media/image54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36" Type="http://schemas.openxmlformats.org/officeDocument/2006/relationships/oleObject" Target="../embeddings/oleObject17.bin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oleObject" Target="../embeddings/oleObject52.bin"/><Relationship Id="rId114" Type="http://schemas.openxmlformats.org/officeDocument/2006/relationships/oleObject" Target="../embeddings/oleObject57.bin"/><Relationship Id="rId119" Type="http://schemas.openxmlformats.org/officeDocument/2006/relationships/oleObject" Target="../embeddings/oleObject60.bin"/><Relationship Id="rId10" Type="http://schemas.openxmlformats.org/officeDocument/2006/relationships/oleObject" Target="../embeddings/oleObject4.bin"/><Relationship Id="rId31" Type="http://schemas.openxmlformats.org/officeDocument/2006/relationships/image" Target="../media/image14.emf"/><Relationship Id="rId44" Type="http://schemas.openxmlformats.org/officeDocument/2006/relationships/oleObject" Target="../embeddings/oleObject21.bin"/><Relationship Id="rId52" Type="http://schemas.openxmlformats.org/officeDocument/2006/relationships/oleObject" Target="../embeddings/oleObject25.bin"/><Relationship Id="rId60" Type="http://schemas.openxmlformats.org/officeDocument/2006/relationships/oleObject" Target="../embeddings/oleObject29.bin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oleObject" Target="../embeddings/oleObject38.bin"/><Relationship Id="rId81" Type="http://schemas.openxmlformats.org/officeDocument/2006/relationships/image" Target="../media/image39.emf"/><Relationship Id="rId86" Type="http://schemas.openxmlformats.org/officeDocument/2006/relationships/oleObject" Target="../embeddings/oleObject42.bin"/><Relationship Id="rId94" Type="http://schemas.openxmlformats.org/officeDocument/2006/relationships/oleObject" Target="../embeddings/oleObject46.bin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oleObject" Target="../embeddings/oleObject16.bin"/><Relationship Id="rId50" Type="http://schemas.openxmlformats.org/officeDocument/2006/relationships/oleObject" Target="../embeddings/oleObject24.bin"/><Relationship Id="rId55" Type="http://schemas.openxmlformats.org/officeDocument/2006/relationships/image" Target="../media/image26.emf"/><Relationship Id="rId76" Type="http://schemas.openxmlformats.org/officeDocument/2006/relationships/oleObject" Target="../embeddings/oleObject37.bin"/><Relationship Id="rId97" Type="http://schemas.openxmlformats.org/officeDocument/2006/relationships/image" Target="../media/image47.emf"/><Relationship Id="rId104" Type="http://schemas.openxmlformats.org/officeDocument/2006/relationships/oleObject" Target="../embeddings/oleObject51.bin"/><Relationship Id="rId120" Type="http://schemas.openxmlformats.org/officeDocument/2006/relationships/image" Target="../media/image57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oleObject" Target="../embeddings/oleObject45.bin"/><Relationship Id="rId2" Type="http://schemas.openxmlformats.org/officeDocument/2006/relationships/drawing" Target="../drawings/drawing2.xml"/><Relationship Id="rId29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topLeftCell="A4" zoomScale="181" workbookViewId="0">
      <selection activeCell="C9" sqref="C9"/>
    </sheetView>
  </sheetViews>
  <sheetFormatPr defaultRowHeight="14.4" x14ac:dyDescent="0.3"/>
  <cols>
    <col min="2" max="2" width="22.33203125" customWidth="1"/>
  </cols>
  <sheetData>
    <row r="2" spans="2:3" x14ac:dyDescent="0.3">
      <c r="B2" t="s">
        <v>0</v>
      </c>
      <c r="C2" t="s">
        <v>13</v>
      </c>
    </row>
    <row r="3" spans="2:3" x14ac:dyDescent="0.3">
      <c r="B3" t="s">
        <v>1</v>
      </c>
      <c r="C3">
        <v>0.41499999999999998</v>
      </c>
    </row>
    <row r="4" spans="2:3" x14ac:dyDescent="0.3">
      <c r="B4" t="s">
        <v>8</v>
      </c>
      <c r="C4">
        <v>0.2</v>
      </c>
    </row>
    <row r="5" spans="2:3" x14ac:dyDescent="0.3">
      <c r="B5" t="s">
        <v>2</v>
      </c>
      <c r="C5">
        <v>0.15</v>
      </c>
    </row>
    <row r="6" spans="2:3" x14ac:dyDescent="0.3">
      <c r="B6" t="s">
        <v>3</v>
      </c>
      <c r="C6">
        <v>145</v>
      </c>
    </row>
    <row r="7" spans="2:3" x14ac:dyDescent="0.3">
      <c r="B7" t="s">
        <v>4</v>
      </c>
      <c r="C7">
        <v>0.05</v>
      </c>
    </row>
    <row r="8" spans="2:3" x14ac:dyDescent="0.3">
      <c r="B8" t="s">
        <v>5</v>
      </c>
      <c r="C8">
        <v>0.3</v>
      </c>
    </row>
    <row r="9" spans="2:3" x14ac:dyDescent="0.3">
      <c r="B9" t="s">
        <v>6</v>
      </c>
      <c r="C9">
        <f>(((C4*(1-C5))*C3)/C7)^(1/(1-C8))</f>
        <v>1.6353473805634506</v>
      </c>
    </row>
    <row r="10" spans="2:3" x14ac:dyDescent="0.3">
      <c r="B10" t="s">
        <v>7</v>
      </c>
      <c r="C10">
        <f>C3*C9^C8*C6^(1-C8)</f>
        <v>15.67071109977511</v>
      </c>
    </row>
    <row r="11" spans="2:3" x14ac:dyDescent="0.3">
      <c r="B11" t="s">
        <v>9</v>
      </c>
      <c r="C11">
        <f>C9*C7</f>
        <v>8.176736902817254E-2</v>
      </c>
    </row>
    <row r="12" spans="2:3" x14ac:dyDescent="0.3">
      <c r="B12" t="s">
        <v>10</v>
      </c>
    </row>
    <row r="13" spans="2:3" x14ac:dyDescent="0.3">
      <c r="B13" t="s">
        <v>11</v>
      </c>
      <c r="C13">
        <f>C9/C10</f>
        <v>0.10435693505873639</v>
      </c>
    </row>
    <row r="14" spans="2:3" x14ac:dyDescent="0.3">
      <c r="B14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60" zoomScaleNormal="60" workbookViewId="0">
      <selection activeCell="Y15" sqref="Y15"/>
    </sheetView>
  </sheetViews>
  <sheetFormatPr defaultRowHeight="14.4" x14ac:dyDescent="0.3"/>
  <sheetData/>
  <sheetProtection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M125"/>
  <sheetViews>
    <sheetView showGridLines="0" topLeftCell="P10" zoomScale="70" zoomScaleNormal="70" workbookViewId="0">
      <selection activeCell="AI28" sqref="AI28"/>
    </sheetView>
  </sheetViews>
  <sheetFormatPr defaultRowHeight="14.4" x14ac:dyDescent="0.3"/>
  <cols>
    <col min="2" max="2" width="34.88671875" customWidth="1"/>
    <col min="14" max="14" width="8.88671875" customWidth="1"/>
    <col min="15" max="15" width="1.6640625" customWidth="1"/>
    <col min="16" max="16" width="37.6640625" customWidth="1"/>
    <col min="17" max="17" width="6.6640625" customWidth="1"/>
    <col min="40" max="40" width="8.6640625" customWidth="1"/>
    <col min="56" max="56" width="8.44140625" customWidth="1"/>
  </cols>
  <sheetData>
    <row r="2" spans="2:65" x14ac:dyDescent="0.3">
      <c r="B2" t="s">
        <v>0</v>
      </c>
      <c r="E2" t="s">
        <v>33</v>
      </c>
      <c r="R2" t="s">
        <v>20</v>
      </c>
    </row>
    <row r="3" spans="2:65" ht="16.8" x14ac:dyDescent="0.35">
      <c r="B3" t="s">
        <v>75</v>
      </c>
      <c r="C3">
        <v>0.15</v>
      </c>
      <c r="O3" t="s">
        <v>25</v>
      </c>
      <c r="R3" t="s">
        <v>21</v>
      </c>
      <c r="T3" t="s">
        <v>22</v>
      </c>
      <c r="V3" t="s">
        <v>23</v>
      </c>
      <c r="AI3" t="s">
        <v>50</v>
      </c>
      <c r="AK3" s="16" t="s">
        <v>49</v>
      </c>
      <c r="AL3" s="16"/>
      <c r="AM3" s="16"/>
      <c r="AN3" s="16"/>
      <c r="AO3" s="16"/>
      <c r="AR3" s="17" t="s">
        <v>51</v>
      </c>
      <c r="AS3" s="17"/>
      <c r="AT3" s="17"/>
      <c r="AU3" s="17"/>
      <c r="AV3" s="17"/>
      <c r="AZ3" s="18" t="s">
        <v>52</v>
      </c>
      <c r="BA3" s="18"/>
      <c r="BB3" s="18"/>
      <c r="BC3" s="18"/>
      <c r="BD3" s="18"/>
      <c r="BG3" s="29" t="s">
        <v>100</v>
      </c>
      <c r="BH3" s="29"/>
      <c r="BI3" s="29"/>
      <c r="BJ3" s="29"/>
      <c r="BK3" s="29"/>
      <c r="BL3" s="29"/>
    </row>
    <row r="4" spans="2:65" ht="15.6" x14ac:dyDescent="0.35">
      <c r="B4" t="s">
        <v>74</v>
      </c>
      <c r="C4">
        <f>C3</f>
        <v>0.15</v>
      </c>
      <c r="E4" t="s">
        <v>15</v>
      </c>
      <c r="P4" t="s">
        <v>24</v>
      </c>
      <c r="R4" s="5">
        <v>0</v>
      </c>
      <c r="T4" s="5">
        <v>0</v>
      </c>
      <c r="V4" s="5">
        <v>0</v>
      </c>
    </row>
    <row r="5" spans="2:65" x14ac:dyDescent="0.3">
      <c r="B5" t="s">
        <v>65</v>
      </c>
      <c r="C5">
        <v>0.3</v>
      </c>
      <c r="P5" t="s">
        <v>26</v>
      </c>
      <c r="R5" s="5">
        <v>0</v>
      </c>
      <c r="T5" s="5">
        <v>0</v>
      </c>
      <c r="V5" s="5">
        <v>0</v>
      </c>
      <c r="AK5" t="s">
        <v>21</v>
      </c>
      <c r="AM5" t="s">
        <v>22</v>
      </c>
      <c r="AO5" t="s">
        <v>23</v>
      </c>
      <c r="AR5" t="s">
        <v>21</v>
      </c>
      <c r="AT5" t="s">
        <v>22</v>
      </c>
      <c r="AV5" t="s">
        <v>23</v>
      </c>
      <c r="AZ5" t="s">
        <v>21</v>
      </c>
      <c r="BB5" t="s">
        <v>22</v>
      </c>
      <c r="BD5" t="s">
        <v>23</v>
      </c>
      <c r="BG5" t="s">
        <v>101</v>
      </c>
      <c r="BI5" t="s">
        <v>21</v>
      </c>
      <c r="BK5" t="s">
        <v>22</v>
      </c>
      <c r="BM5" t="s">
        <v>23</v>
      </c>
    </row>
    <row r="6" spans="2:65" x14ac:dyDescent="0.3">
      <c r="B6" t="s">
        <v>2</v>
      </c>
      <c r="C6">
        <v>0.15</v>
      </c>
    </row>
    <row r="7" spans="2:65" x14ac:dyDescent="0.3">
      <c r="B7" t="s">
        <v>3</v>
      </c>
      <c r="C7">
        <v>145</v>
      </c>
      <c r="O7" t="s">
        <v>29</v>
      </c>
      <c r="R7" t="s">
        <v>27</v>
      </c>
      <c r="AI7" s="14">
        <f t="shared" ref="AI7:AI16" si="0">AI8+AI$30</f>
        <v>4.9999999999999996E-2</v>
      </c>
      <c r="AK7" s="13">
        <f t="shared" ref="AK7:AK27" si="1">$C$34+((1-$L$8+$F$32)*$AI7-R$4+$I$8*R$5-$K$44*R$15-$H$46*R$20)/($H$14-$K$44)</f>
        <v>-8.3928571428571463E-3</v>
      </c>
      <c r="AM7" s="13">
        <f t="shared" ref="AM7:AM27" si="2">$C$34+((1-$L$8+$F$32)*$AI7-T$4+$I$8*T$5-$K$44*T$15-$H$46*T$20)/($H$14-$K$44)</f>
        <v>-1.9135714285714287E-2</v>
      </c>
      <c r="AO7" s="13">
        <f t="shared" ref="AO7:AO27" si="3">$C$34+((1-$L$8+$F$32)*$AI7-V$4+$I$8*V$5-$K$44*V$15-$H$46*V$20)/($H$14-$K$44)</f>
        <v>3.7214285714285734E-3</v>
      </c>
      <c r="AR7" s="14">
        <f t="shared" ref="AR7:AR27" si="4">$C$34+$F$64*R$9+$I$64*$AI7-$K$64*R$8+$H$66*R$15+R$12</f>
        <v>8.0714285714285711E-2</v>
      </c>
      <c r="AT7" s="14">
        <f t="shared" ref="AT7:AT27" si="5">$C$34+$F$64*T$9+$I$64*$AI7-$K$64*T$8+$H$66*T$15+T$12</f>
        <v>8.0714285714285711E-2</v>
      </c>
      <c r="AV7" s="14">
        <f t="shared" ref="AV7:AV27" si="6">$C$34+$F$64*V$9+$I$64*$AI7-$K$64*V$8+$H$66*V$15+V$12</f>
        <v>0.12271428571428572</v>
      </c>
      <c r="AZ7" s="14">
        <f t="shared" ref="AZ7:AZ27" si="7">$C$31+R$9+(1/$F$58)*($AI7-R$8)+$I$58*R$15</f>
        <v>0.10142857142857142</v>
      </c>
      <c r="BB7" s="14">
        <f t="shared" ref="BB7:BB27" si="8">$C$31+T$9+(1/$F$58)*($AI7-T$8)+$I$58*T$15</f>
        <v>0.10142857142857142</v>
      </c>
      <c r="BD7" s="14">
        <f t="shared" ref="BD7:BD27" si="9">$C$31+V$9+(1/$F$58)*($AI7-V$8)+$I$58*V$15</f>
        <v>0.10542857142857143</v>
      </c>
      <c r="BG7" s="22">
        <f t="shared" ref="BG7:BG16" si="10">BG8*(1+$BG$30)</f>
        <v>105.11401320407893</v>
      </c>
      <c r="BI7" s="14">
        <f t="shared" ref="BI7:BI27" si="11">$C$21-$C$22+($F$26-$I$32)*($BG7/$BG$17-1)+($F$26*(1-$I$26)+$I$32*$I$26)*R$20-$F$32*R$58</f>
        <v>5.8769248489774301E-2</v>
      </c>
      <c r="BK7" s="14">
        <f t="shared" ref="BK7:BK27" si="12">$C$21-$C$22+($F$26-$I$32)*($BG7/$BG$17-1)+($F$26*(1-$I$26)+$I$32*$I$26)*T$20-$F$32*T$58</f>
        <v>4.4030651295385526E-2</v>
      </c>
      <c r="BM7" s="14">
        <f t="shared" ref="BM7:BM27" si="13">$C$21-$C$22+($F$26-$I$32)*($BG7/$BG$17-1)+($F$26*(1-$I$26)+$I$32*$I$26)*V$20-$F$32*V$58</f>
        <v>4.4567725443682121E-2</v>
      </c>
    </row>
    <row r="8" spans="2:65" ht="16.8" x14ac:dyDescent="0.35">
      <c r="B8" t="s">
        <v>72</v>
      </c>
      <c r="C8" s="22">
        <f>C7/1.03</f>
        <v>140.77669902912621</v>
      </c>
      <c r="G8" s="2">
        <f>(1-C18-C6)*0+C17</f>
        <v>0.65</v>
      </c>
      <c r="I8" s="2">
        <v>0.3</v>
      </c>
      <c r="L8" s="2">
        <f>(1-C6)*I8</f>
        <v>0.255</v>
      </c>
      <c r="P8" t="s">
        <v>28</v>
      </c>
      <c r="R8" s="5">
        <v>0</v>
      </c>
      <c r="T8" s="5">
        <v>0</v>
      </c>
      <c r="V8" s="5">
        <v>0</v>
      </c>
      <c r="AI8" s="14">
        <f t="shared" si="0"/>
        <v>4.4999999999999998E-2</v>
      </c>
      <c r="AK8" s="13">
        <f t="shared" si="1"/>
        <v>-5.553571428571432E-3</v>
      </c>
      <c r="AM8" s="13">
        <f t="shared" si="2"/>
        <v>-1.6296428571428569E-2</v>
      </c>
      <c r="AO8" s="13">
        <f t="shared" si="3"/>
        <v>6.560714285714286E-3</v>
      </c>
      <c r="AR8" s="14">
        <f t="shared" si="4"/>
        <v>7.464285714285715E-2</v>
      </c>
      <c r="AT8" s="14">
        <f t="shared" si="5"/>
        <v>7.464285714285715E-2</v>
      </c>
      <c r="AV8" s="14">
        <f t="shared" si="6"/>
        <v>0.11664285714285716</v>
      </c>
      <c r="AZ8" s="14">
        <f t="shared" si="7"/>
        <v>9.4285714285714278E-2</v>
      </c>
      <c r="BB8" s="14">
        <f t="shared" si="8"/>
        <v>9.4285714285714278E-2</v>
      </c>
      <c r="BD8" s="14">
        <f t="shared" si="9"/>
        <v>9.8285714285714282E-2</v>
      </c>
      <c r="BG8" s="22">
        <f t="shared" si="10"/>
        <v>104.59105791450641</v>
      </c>
      <c r="BI8" s="14">
        <f t="shared" si="11"/>
        <v>5.4585606173194016E-2</v>
      </c>
      <c r="BK8" s="14">
        <f t="shared" si="12"/>
        <v>3.9847008978805241E-2</v>
      </c>
      <c r="BM8" s="14">
        <f t="shared" si="13"/>
        <v>4.0384083127101837E-2</v>
      </c>
    </row>
    <row r="9" spans="2:65" ht="15.6" x14ac:dyDescent="0.35">
      <c r="B9" t="s">
        <v>73</v>
      </c>
      <c r="C9" s="22">
        <f>C7-C8</f>
        <v>4.2233009708737939</v>
      </c>
      <c r="P9" t="s">
        <v>30</v>
      </c>
      <c r="R9" s="5">
        <v>0</v>
      </c>
      <c r="T9" s="5">
        <v>0</v>
      </c>
      <c r="V9" s="5">
        <v>0</v>
      </c>
      <c r="AI9" s="14">
        <f t="shared" si="0"/>
        <v>0.04</v>
      </c>
      <c r="AK9" s="13">
        <f t="shared" si="1"/>
        <v>-2.7142857142857177E-3</v>
      </c>
      <c r="AM9" s="13">
        <f t="shared" si="2"/>
        <v>-1.3457142857142858E-2</v>
      </c>
      <c r="AO9" s="13">
        <f t="shared" si="3"/>
        <v>9.3999999999999986E-3</v>
      </c>
      <c r="AR9" s="14">
        <f t="shared" si="4"/>
        <v>6.8571428571428575E-2</v>
      </c>
      <c r="AT9" s="14">
        <f t="shared" si="5"/>
        <v>6.8571428571428575E-2</v>
      </c>
      <c r="AV9" s="14">
        <f t="shared" si="6"/>
        <v>0.11057142857142857</v>
      </c>
      <c r="AZ9" s="14">
        <f t="shared" si="7"/>
        <v>8.7142857142857147E-2</v>
      </c>
      <c r="BB9" s="14">
        <f t="shared" si="8"/>
        <v>8.7142857142857147E-2</v>
      </c>
      <c r="BD9" s="14">
        <f t="shared" si="9"/>
        <v>9.114285714285715E-2</v>
      </c>
      <c r="BG9" s="22">
        <f t="shared" si="10"/>
        <v>104.0707043925437</v>
      </c>
      <c r="BI9" s="14">
        <f t="shared" si="11"/>
        <v>5.0422777997492486E-2</v>
      </c>
      <c r="BK9" s="14">
        <f t="shared" si="12"/>
        <v>3.5684180803103711E-2</v>
      </c>
      <c r="BM9" s="14">
        <f t="shared" si="13"/>
        <v>3.6221254951400307E-2</v>
      </c>
    </row>
    <row r="10" spans="2:65" x14ac:dyDescent="0.3">
      <c r="B10" t="s">
        <v>4</v>
      </c>
      <c r="C10">
        <v>0.05</v>
      </c>
      <c r="E10" t="s">
        <v>16</v>
      </c>
      <c r="AI10" s="14">
        <f t="shared" si="0"/>
        <v>3.5000000000000003E-2</v>
      </c>
      <c r="AK10" s="13">
        <f t="shared" si="1"/>
        <v>1.2499999999999664E-4</v>
      </c>
      <c r="AM10" s="13">
        <f t="shared" si="2"/>
        <v>-1.0617857142857144E-2</v>
      </c>
      <c r="AO10" s="13">
        <f t="shared" si="3"/>
        <v>1.2239285714285713E-2</v>
      </c>
      <c r="AR10" s="14">
        <f t="shared" si="4"/>
        <v>6.2500000000000014E-2</v>
      </c>
      <c r="AT10" s="14">
        <f t="shared" si="5"/>
        <v>6.2500000000000014E-2</v>
      </c>
      <c r="AV10" s="14">
        <f t="shared" si="6"/>
        <v>0.10450000000000001</v>
      </c>
      <c r="AZ10" s="14">
        <f t="shared" si="7"/>
        <v>0.08</v>
      </c>
      <c r="BB10" s="14">
        <f t="shared" si="8"/>
        <v>0.08</v>
      </c>
      <c r="BD10" s="14">
        <f t="shared" si="9"/>
        <v>8.4000000000000005E-2</v>
      </c>
      <c r="BG10" s="22">
        <f t="shared" si="10"/>
        <v>103.55293969407334</v>
      </c>
      <c r="BI10" s="14">
        <f t="shared" si="11"/>
        <v>4.6280660409729626E-2</v>
      </c>
      <c r="BK10" s="14">
        <f t="shared" si="12"/>
        <v>3.1542063215340851E-2</v>
      </c>
      <c r="BM10" s="14">
        <f t="shared" si="13"/>
        <v>3.2079137363637447E-2</v>
      </c>
    </row>
    <row r="11" spans="2:65" x14ac:dyDescent="0.3">
      <c r="B11" t="s">
        <v>5</v>
      </c>
      <c r="C11">
        <v>0.3</v>
      </c>
      <c r="O11" t="s">
        <v>29</v>
      </c>
      <c r="R11" t="s">
        <v>31</v>
      </c>
      <c r="AI11" s="14">
        <f t="shared" si="0"/>
        <v>3.0000000000000002E-2</v>
      </c>
      <c r="AK11" s="13">
        <f t="shared" si="1"/>
        <v>2.964285714285711E-3</v>
      </c>
      <c r="AM11" s="13">
        <f t="shared" si="2"/>
        <v>-7.7785714285714298E-3</v>
      </c>
      <c r="AO11" s="13">
        <f t="shared" si="3"/>
        <v>1.5078571428571427E-2</v>
      </c>
      <c r="AR11" s="14">
        <f t="shared" si="4"/>
        <v>5.6428571428571439E-2</v>
      </c>
      <c r="AT11" s="14">
        <f t="shared" si="5"/>
        <v>5.6428571428571439E-2</v>
      </c>
      <c r="AV11" s="14">
        <f t="shared" si="6"/>
        <v>9.8428571428571449E-2</v>
      </c>
      <c r="AZ11" s="14">
        <f t="shared" si="7"/>
        <v>7.285714285714287E-2</v>
      </c>
      <c r="BB11" s="14">
        <f t="shared" si="8"/>
        <v>7.285714285714287E-2</v>
      </c>
      <c r="BD11" s="14">
        <f t="shared" si="9"/>
        <v>7.6857142857142874E-2</v>
      </c>
      <c r="BG11" s="22">
        <f t="shared" si="10"/>
        <v>103.03775093937648</v>
      </c>
      <c r="BI11" s="14">
        <f t="shared" si="11"/>
        <v>4.2159150372154654E-2</v>
      </c>
      <c r="BK11" s="14">
        <f t="shared" si="12"/>
        <v>2.7420553177765879E-2</v>
      </c>
      <c r="BM11" s="14">
        <f t="shared" si="13"/>
        <v>2.7957627326062471E-2</v>
      </c>
    </row>
    <row r="12" spans="2:65" x14ac:dyDescent="0.3">
      <c r="B12" t="s">
        <v>6</v>
      </c>
      <c r="C12" s="7">
        <f>((C34+C10)/(C11*(1-C6)*(($C$4*$C$9^(1-$C$11)+$C$39*$C$3*$C$8^(1-$C$11)))))^(1/(C5-1))</f>
        <v>66.789145600368926</v>
      </c>
      <c r="P12" t="s">
        <v>32</v>
      </c>
      <c r="R12" s="5">
        <v>0</v>
      </c>
      <c r="T12" s="5">
        <v>0</v>
      </c>
      <c r="V12" s="5">
        <v>0</v>
      </c>
      <c r="AI12" s="14">
        <f t="shared" si="0"/>
        <v>2.5000000000000001E-2</v>
      </c>
      <c r="AK12" s="13">
        <f t="shared" si="1"/>
        <v>5.8035714285714253E-3</v>
      </c>
      <c r="AM12" s="13">
        <f t="shared" si="2"/>
        <v>-4.9392857142857155E-3</v>
      </c>
      <c r="AO12" s="13">
        <f t="shared" si="3"/>
        <v>1.7917857142857142E-2</v>
      </c>
      <c r="AR12" s="14">
        <f t="shared" si="4"/>
        <v>5.0357142857142864E-2</v>
      </c>
      <c r="AT12" s="14">
        <f t="shared" si="5"/>
        <v>5.0357142857142864E-2</v>
      </c>
      <c r="AV12" s="14">
        <f t="shared" si="6"/>
        <v>9.235714285714286E-2</v>
      </c>
      <c r="AZ12" s="14">
        <f t="shared" si="7"/>
        <v>6.5714285714285725E-2</v>
      </c>
      <c r="BB12" s="14">
        <f t="shared" si="8"/>
        <v>6.5714285714285725E-2</v>
      </c>
      <c r="BD12" s="14">
        <f t="shared" si="9"/>
        <v>6.9714285714285729E-2</v>
      </c>
      <c r="BG12" s="22">
        <f t="shared" si="10"/>
        <v>102.52512531281243</v>
      </c>
      <c r="BI12" s="14">
        <f t="shared" si="11"/>
        <v>3.805814535964229E-2</v>
      </c>
      <c r="BK12" s="14">
        <f t="shared" si="12"/>
        <v>2.3319548165253515E-2</v>
      </c>
      <c r="BM12" s="14">
        <f t="shared" si="13"/>
        <v>2.3856622313550107E-2</v>
      </c>
    </row>
    <row r="13" spans="2:65" x14ac:dyDescent="0.3">
      <c r="B13" t="s">
        <v>7</v>
      </c>
      <c r="C13" s="7">
        <f>((C34+C10)/(C11*(1-C6)*(($C$4*$C$9^(1-$C$11)+$C$39*$C$3*$C$8^(1-$C$11)))))^(C5/(C5-1))*($C$3*$C$8^(1-$C$11)+$C$39*$C$4*$C$9^(1-$C$11))</f>
        <v>18.334275262846369</v>
      </c>
      <c r="AI13" s="14">
        <f t="shared" si="0"/>
        <v>0.02</v>
      </c>
      <c r="AK13" s="13">
        <f t="shared" si="1"/>
        <v>8.6428571428571414E-3</v>
      </c>
      <c r="AM13" s="13">
        <f t="shared" si="2"/>
        <v>-2.1000000000000012E-3</v>
      </c>
      <c r="AO13" s="13">
        <f t="shared" si="3"/>
        <v>2.0757142857142856E-2</v>
      </c>
      <c r="AR13" s="14">
        <f t="shared" si="4"/>
        <v>4.4285714285714289E-2</v>
      </c>
      <c r="AT13" s="14">
        <f t="shared" si="5"/>
        <v>4.4285714285714289E-2</v>
      </c>
      <c r="AV13" s="14">
        <f t="shared" si="6"/>
        <v>8.6285714285714299E-2</v>
      </c>
      <c r="AZ13" s="14">
        <f t="shared" si="7"/>
        <v>5.8571428571428573E-2</v>
      </c>
      <c r="BB13" s="14">
        <f t="shared" si="8"/>
        <v>5.8571428571428573E-2</v>
      </c>
      <c r="BD13" s="14">
        <f t="shared" si="9"/>
        <v>6.257142857142857E-2</v>
      </c>
      <c r="BG13" s="22">
        <f t="shared" si="10"/>
        <v>102.01505006249995</v>
      </c>
      <c r="BI13" s="14">
        <f t="shared" si="11"/>
        <v>3.3977543357142453E-2</v>
      </c>
      <c r="BK13" s="14">
        <f t="shared" si="12"/>
        <v>1.9238946162753678E-2</v>
      </c>
      <c r="BM13" s="14">
        <f t="shared" si="13"/>
        <v>1.9776020311050271E-2</v>
      </c>
    </row>
    <row r="14" spans="2:65" x14ac:dyDescent="0.3">
      <c r="B14" t="s">
        <v>9</v>
      </c>
      <c r="C14" s="7">
        <f>C12*C10</f>
        <v>3.3394572800184465</v>
      </c>
      <c r="F14" s="2">
        <f>C18</f>
        <v>0.18214285714285719</v>
      </c>
      <c r="H14" s="3">
        <v>-0.6</v>
      </c>
      <c r="P14" t="s">
        <v>29</v>
      </c>
      <c r="R14" t="s">
        <v>81</v>
      </c>
      <c r="AI14" s="14">
        <f t="shared" si="0"/>
        <v>1.4999999999999999E-2</v>
      </c>
      <c r="AK14" s="13">
        <f t="shared" si="1"/>
        <v>1.1482142857142857E-2</v>
      </c>
      <c r="AM14" s="13">
        <f t="shared" si="2"/>
        <v>7.3928571428571316E-4</v>
      </c>
      <c r="AO14" s="13">
        <f t="shared" si="3"/>
        <v>2.3596428571428574E-2</v>
      </c>
      <c r="AR14" s="14">
        <f t="shared" si="4"/>
        <v>3.8214285714285715E-2</v>
      </c>
      <c r="AT14" s="14">
        <f t="shared" si="5"/>
        <v>3.8214285714285715E-2</v>
      </c>
      <c r="AV14" s="14">
        <f t="shared" si="6"/>
        <v>8.021428571428571E-2</v>
      </c>
      <c r="AZ14" s="14">
        <f t="shared" si="7"/>
        <v>5.1428571428571428E-2</v>
      </c>
      <c r="BB14" s="14">
        <f t="shared" si="8"/>
        <v>5.1428571428571428E-2</v>
      </c>
      <c r="BD14" s="14">
        <f t="shared" si="9"/>
        <v>5.5428571428571424E-2</v>
      </c>
      <c r="BG14" s="22">
        <f t="shared" si="10"/>
        <v>101.50751249999996</v>
      </c>
      <c r="BI14" s="14">
        <f t="shared" si="11"/>
        <v>2.9917242857142499E-2</v>
      </c>
      <c r="BK14" s="14">
        <f t="shared" si="12"/>
        <v>1.5178645662753723E-2</v>
      </c>
      <c r="BM14" s="14">
        <f t="shared" si="13"/>
        <v>1.5715719811050317E-2</v>
      </c>
    </row>
    <row r="15" spans="2:65" x14ac:dyDescent="0.3">
      <c r="B15" t="s">
        <v>10</v>
      </c>
      <c r="P15" t="s">
        <v>82</v>
      </c>
      <c r="R15" s="23">
        <f>R16+R17</f>
        <v>0</v>
      </c>
      <c r="T15" s="23">
        <f>T16+T17</f>
        <v>0</v>
      </c>
      <c r="V15" s="23">
        <f>V16+V17</f>
        <v>0.04</v>
      </c>
      <c r="AI15" s="14">
        <f t="shared" si="0"/>
        <v>0.01</v>
      </c>
      <c r="AK15" s="13">
        <f t="shared" si="1"/>
        <v>1.4321428571428572E-2</v>
      </c>
      <c r="AM15" s="13">
        <f t="shared" si="2"/>
        <v>3.5785714285714275E-3</v>
      </c>
      <c r="AO15" s="13">
        <f t="shared" si="3"/>
        <v>2.6435714285714288E-2</v>
      </c>
      <c r="AR15" s="14">
        <f t="shared" si="4"/>
        <v>3.2142857142857147E-2</v>
      </c>
      <c r="AT15" s="14">
        <f t="shared" si="5"/>
        <v>3.2142857142857147E-2</v>
      </c>
      <c r="AV15" s="14">
        <f t="shared" si="6"/>
        <v>7.4142857142857149E-2</v>
      </c>
      <c r="AZ15" s="14">
        <f t="shared" si="7"/>
        <v>4.4285714285714289E-2</v>
      </c>
      <c r="BB15" s="14">
        <f t="shared" si="8"/>
        <v>4.4285714285714289E-2</v>
      </c>
      <c r="BD15" s="14">
        <f t="shared" si="9"/>
        <v>4.8285714285714293E-2</v>
      </c>
      <c r="BG15" s="22">
        <f t="shared" si="10"/>
        <v>101.00249999999997</v>
      </c>
      <c r="BI15" s="14">
        <f t="shared" si="11"/>
        <v>2.5877142857142578E-2</v>
      </c>
      <c r="BK15" s="14">
        <f t="shared" si="12"/>
        <v>1.1138545662753801E-2</v>
      </c>
      <c r="BM15" s="14">
        <f t="shared" si="13"/>
        <v>1.1675619811050393E-2</v>
      </c>
    </row>
    <row r="16" spans="2:65" x14ac:dyDescent="0.3">
      <c r="B16" t="s">
        <v>11</v>
      </c>
      <c r="C16" s="7">
        <f>C12/C13</f>
        <v>3.6428571428571437</v>
      </c>
      <c r="E16" t="s">
        <v>17</v>
      </c>
      <c r="P16" t="s">
        <v>83</v>
      </c>
      <c r="R16" s="5">
        <v>0</v>
      </c>
      <c r="T16" s="5">
        <v>0</v>
      </c>
      <c r="V16" s="5">
        <v>0</v>
      </c>
      <c r="AI16" s="14">
        <f t="shared" si="0"/>
        <v>5.0000000000000001E-3</v>
      </c>
      <c r="AK16" s="13">
        <f t="shared" si="1"/>
        <v>1.7160714285714286E-2</v>
      </c>
      <c r="AM16" s="13">
        <f t="shared" si="2"/>
        <v>6.4178571428571418E-3</v>
      </c>
      <c r="AO16" s="13">
        <f t="shared" si="3"/>
        <v>2.9275000000000002E-2</v>
      </c>
      <c r="AR16" s="14">
        <f t="shared" si="4"/>
        <v>2.6071428571428572E-2</v>
      </c>
      <c r="AT16" s="14">
        <f t="shared" si="5"/>
        <v>2.6071428571428572E-2</v>
      </c>
      <c r="AV16" s="14">
        <f t="shared" si="6"/>
        <v>6.8071428571428574E-2</v>
      </c>
      <c r="AZ16" s="14">
        <f t="shared" si="7"/>
        <v>3.7142857142857144E-2</v>
      </c>
      <c r="BB16" s="14">
        <f t="shared" si="8"/>
        <v>3.7142857142857144E-2</v>
      </c>
      <c r="BD16" s="14">
        <f t="shared" si="9"/>
        <v>4.1142857142857148E-2</v>
      </c>
      <c r="BG16" s="22">
        <f t="shared" si="10"/>
        <v>100.49999999999999</v>
      </c>
      <c r="BI16" s="14">
        <f t="shared" si="11"/>
        <v>2.1857142857142707E-2</v>
      </c>
      <c r="BK16" s="14">
        <f t="shared" si="12"/>
        <v>7.1185456627539303E-3</v>
      </c>
      <c r="BM16" s="14">
        <f t="shared" si="13"/>
        <v>7.6556198110505225E-3</v>
      </c>
    </row>
    <row r="17" spans="2:65" x14ac:dyDescent="0.3">
      <c r="B17" t="s">
        <v>60</v>
      </c>
      <c r="C17" s="1">
        <v>0.65</v>
      </c>
      <c r="P17" t="s">
        <v>84</v>
      </c>
      <c r="R17" s="5">
        <v>0</v>
      </c>
      <c r="T17" s="5">
        <v>0</v>
      </c>
      <c r="V17" s="5">
        <v>0.04</v>
      </c>
      <c r="AI17" s="15">
        <v>0</v>
      </c>
      <c r="AK17" s="15">
        <f t="shared" si="1"/>
        <v>0.02</v>
      </c>
      <c r="AL17" s="15"/>
      <c r="AM17" s="15">
        <f t="shared" si="2"/>
        <v>9.2571428571428579E-3</v>
      </c>
      <c r="AN17" s="15"/>
      <c r="AO17" s="15">
        <f t="shared" si="3"/>
        <v>3.211428571428572E-2</v>
      </c>
      <c r="AP17" s="15"/>
      <c r="AR17" s="15">
        <f t="shared" si="4"/>
        <v>0.02</v>
      </c>
      <c r="AT17" s="15">
        <f t="shared" si="5"/>
        <v>0.02</v>
      </c>
      <c r="AV17" s="15">
        <f t="shared" si="6"/>
        <v>6.2E-2</v>
      </c>
      <c r="AW17" s="13"/>
      <c r="AZ17" s="15">
        <f t="shared" si="7"/>
        <v>0.03</v>
      </c>
      <c r="BB17" s="15">
        <f t="shared" si="8"/>
        <v>0.03</v>
      </c>
      <c r="BD17" s="15">
        <f t="shared" si="9"/>
        <v>3.4000000000000002E-2</v>
      </c>
      <c r="BG17" s="31">
        <f>C51</f>
        <v>100</v>
      </c>
      <c r="BI17" s="15">
        <f t="shared" si="11"/>
        <v>1.7857142857142794E-2</v>
      </c>
      <c r="BK17" s="15">
        <f t="shared" si="12"/>
        <v>3.1185456627540165E-3</v>
      </c>
      <c r="BM17" s="15">
        <f t="shared" si="13"/>
        <v>3.6556198110506096E-3</v>
      </c>
    </row>
    <row r="18" spans="2:65" x14ac:dyDescent="0.3">
      <c r="B18" t="s">
        <v>40</v>
      </c>
      <c r="C18" s="6">
        <f>C16*C10</f>
        <v>0.18214285714285719</v>
      </c>
      <c r="AI18" s="14">
        <f t="shared" ref="AI18:AI25" si="14">AI17-AI$30</f>
        <v>-5.0000000000000001E-3</v>
      </c>
      <c r="AK18" s="13">
        <f t="shared" si="1"/>
        <v>2.2839285714285715E-2</v>
      </c>
      <c r="AM18" s="13">
        <f t="shared" si="2"/>
        <v>1.2096428571428572E-2</v>
      </c>
      <c r="AO18" s="13">
        <f t="shared" si="3"/>
        <v>3.4953571428571431E-2</v>
      </c>
      <c r="AR18" s="14">
        <f t="shared" si="4"/>
        <v>1.3928571428571429E-2</v>
      </c>
      <c r="AT18" s="14">
        <f t="shared" si="5"/>
        <v>1.3928571428571429E-2</v>
      </c>
      <c r="AV18" s="14">
        <f t="shared" si="6"/>
        <v>5.5928571428571432E-2</v>
      </c>
      <c r="AZ18" s="14">
        <f t="shared" si="7"/>
        <v>2.2857142857142854E-2</v>
      </c>
      <c r="BB18" s="14">
        <f t="shared" si="8"/>
        <v>2.2857142857142854E-2</v>
      </c>
      <c r="BD18" s="14">
        <f t="shared" si="9"/>
        <v>2.6857142857142854E-2</v>
      </c>
      <c r="BG18" s="22">
        <f t="shared" ref="BG18:BG27" si="15">BG17*(1-$BG$30)</f>
        <v>99.5</v>
      </c>
      <c r="BI18" s="14">
        <f t="shared" si="11"/>
        <v>1.385714285714279E-2</v>
      </c>
      <c r="BK18" s="14">
        <f t="shared" si="12"/>
        <v>-8.8145433724598704E-4</v>
      </c>
      <c r="BM18" s="14">
        <f t="shared" si="13"/>
        <v>-3.4438018894939392E-4</v>
      </c>
    </row>
    <row r="19" spans="2:65" x14ac:dyDescent="0.3">
      <c r="B19" t="s">
        <v>61</v>
      </c>
      <c r="C19" s="1">
        <f>C6</f>
        <v>0.15</v>
      </c>
      <c r="F19" s="2">
        <f>C6</f>
        <v>0.15</v>
      </c>
      <c r="P19" t="s">
        <v>29</v>
      </c>
      <c r="R19" t="s">
        <v>85</v>
      </c>
      <c r="AI19" s="14">
        <f t="shared" si="14"/>
        <v>-0.01</v>
      </c>
      <c r="AK19" s="13">
        <f t="shared" si="1"/>
        <v>2.5678571428571429E-2</v>
      </c>
      <c r="AM19" s="13">
        <f t="shared" si="2"/>
        <v>1.4935714285714287E-2</v>
      </c>
      <c r="AO19" s="13">
        <f t="shared" si="3"/>
        <v>3.7792857142857142E-2</v>
      </c>
      <c r="AR19" s="14">
        <f t="shared" si="4"/>
        <v>7.8571428571428559E-3</v>
      </c>
      <c r="AT19" s="14">
        <f t="shared" si="5"/>
        <v>7.8571428571428559E-3</v>
      </c>
      <c r="AV19" s="14">
        <f t="shared" si="6"/>
        <v>4.9857142857142857E-2</v>
      </c>
      <c r="AZ19" s="14">
        <f t="shared" si="7"/>
        <v>1.5714285714285712E-2</v>
      </c>
      <c r="BB19" s="14">
        <f t="shared" si="8"/>
        <v>1.5714285714285712E-2</v>
      </c>
      <c r="BD19" s="14">
        <f t="shared" si="9"/>
        <v>1.9714285714285712E-2</v>
      </c>
      <c r="BG19" s="22">
        <f t="shared" si="15"/>
        <v>99.002499999999998</v>
      </c>
      <c r="BI19" s="14">
        <f t="shared" si="11"/>
        <v>9.8771428571427389E-3</v>
      </c>
      <c r="BK19" s="14">
        <f t="shared" si="12"/>
        <v>-4.8614543372460378E-3</v>
      </c>
      <c r="BM19" s="14">
        <f t="shared" si="13"/>
        <v>-4.3243801889494456E-3</v>
      </c>
    </row>
    <row r="20" spans="2:65" x14ac:dyDescent="0.3">
      <c r="B20" t="s">
        <v>62</v>
      </c>
      <c r="C20" s="1">
        <f>1-C17-C18-C19</f>
        <v>1.7857142857142794E-2</v>
      </c>
      <c r="P20" t="s">
        <v>86</v>
      </c>
      <c r="R20" s="23">
        <f>R21-R22</f>
        <v>0</v>
      </c>
      <c r="T20" s="23">
        <f>T21-T22</f>
        <v>-0.04</v>
      </c>
      <c r="V20" s="23">
        <f>V21-V22</f>
        <v>-0.04</v>
      </c>
      <c r="AI20" s="14">
        <f t="shared" si="14"/>
        <v>-1.4999999999999999E-2</v>
      </c>
      <c r="AK20" s="13">
        <f t="shared" si="1"/>
        <v>2.8517857142857143E-2</v>
      </c>
      <c r="AM20" s="13">
        <f t="shared" si="2"/>
        <v>1.7774999999999999E-2</v>
      </c>
      <c r="AO20" s="13">
        <f t="shared" si="3"/>
        <v>4.063214285714286E-2</v>
      </c>
      <c r="AR20" s="14">
        <f t="shared" si="4"/>
        <v>1.7857142857142863E-3</v>
      </c>
      <c r="AT20" s="14">
        <f t="shared" si="5"/>
        <v>1.7857142857142863E-3</v>
      </c>
      <c r="AV20" s="14">
        <f t="shared" si="6"/>
        <v>4.3785714285714289E-2</v>
      </c>
      <c r="AZ20" s="14">
        <f t="shared" si="7"/>
        <v>8.5714285714285701E-3</v>
      </c>
      <c r="BB20" s="14">
        <f t="shared" si="8"/>
        <v>8.5714285714285701E-3</v>
      </c>
      <c r="BD20" s="14">
        <f t="shared" si="9"/>
        <v>1.257142857142857E-2</v>
      </c>
      <c r="BG20" s="22">
        <f t="shared" si="15"/>
        <v>98.507487499999996</v>
      </c>
      <c r="BI20" s="14">
        <f t="shared" si="11"/>
        <v>5.9170428571428055E-3</v>
      </c>
      <c r="BK20" s="14">
        <f t="shared" si="12"/>
        <v>-8.8215543372459713E-3</v>
      </c>
      <c r="BM20" s="14">
        <f t="shared" si="13"/>
        <v>-8.284480188949379E-3</v>
      </c>
    </row>
    <row r="21" spans="2:65" x14ac:dyDescent="0.3">
      <c r="B21" t="s">
        <v>63</v>
      </c>
      <c r="C21" s="6">
        <f>C49/C47</f>
        <v>7.9103500173663743E-2</v>
      </c>
      <c r="E21" t="s">
        <v>59</v>
      </c>
      <c r="P21" t="s">
        <v>87</v>
      </c>
      <c r="R21" s="5">
        <v>0</v>
      </c>
      <c r="T21" s="5">
        <v>-0.04</v>
      </c>
      <c r="V21" s="5">
        <v>-0.04</v>
      </c>
      <c r="AI21" s="14">
        <f t="shared" si="14"/>
        <v>-0.02</v>
      </c>
      <c r="AK21" s="13">
        <f t="shared" si="1"/>
        <v>3.1357142857142861E-2</v>
      </c>
      <c r="AM21" s="13">
        <f t="shared" si="2"/>
        <v>2.0614285714285717E-2</v>
      </c>
      <c r="AO21" s="13">
        <f t="shared" si="3"/>
        <v>4.3471428571428578E-2</v>
      </c>
      <c r="AR21" s="14">
        <f t="shared" si="4"/>
        <v>-4.2857142857142885E-3</v>
      </c>
      <c r="AT21" s="14">
        <f t="shared" si="5"/>
        <v>-4.2857142857142885E-3</v>
      </c>
      <c r="AV21" s="14">
        <f t="shared" si="6"/>
        <v>3.7714285714285714E-2</v>
      </c>
      <c r="AZ21" s="14">
        <f t="shared" si="7"/>
        <v>1.4285714285714249E-3</v>
      </c>
      <c r="BB21" s="14">
        <f t="shared" si="8"/>
        <v>1.4285714285714249E-3</v>
      </c>
      <c r="BD21" s="14">
        <f t="shared" si="9"/>
        <v>5.428571428571425E-3</v>
      </c>
      <c r="BG21" s="22">
        <f t="shared" si="15"/>
        <v>98.014950062499992</v>
      </c>
      <c r="BI21" s="14">
        <f t="shared" si="11"/>
        <v>1.9767433571427524E-3</v>
      </c>
      <c r="BK21" s="14">
        <f t="shared" si="12"/>
        <v>-1.2761853837246024E-2</v>
      </c>
      <c r="BM21" s="14">
        <f t="shared" si="13"/>
        <v>-1.2224779688949432E-2</v>
      </c>
    </row>
    <row r="22" spans="2:65" x14ac:dyDescent="0.3">
      <c r="B22" t="s">
        <v>64</v>
      </c>
      <c r="C22" s="6">
        <f>C21-C20</f>
        <v>6.124635731652095E-2</v>
      </c>
      <c r="P22" t="s">
        <v>88</v>
      </c>
      <c r="R22" s="5">
        <v>0</v>
      </c>
      <c r="T22" s="5">
        <v>0</v>
      </c>
      <c r="V22" s="5">
        <v>0</v>
      </c>
      <c r="AI22" s="14">
        <f t="shared" si="14"/>
        <v>-2.5000000000000001E-2</v>
      </c>
      <c r="AK22" s="13">
        <f t="shared" si="1"/>
        <v>3.4196428571428572E-2</v>
      </c>
      <c r="AM22" s="13">
        <f t="shared" si="2"/>
        <v>2.3453571428571431E-2</v>
      </c>
      <c r="AO22" s="13">
        <f t="shared" si="3"/>
        <v>4.6310714285714288E-2</v>
      </c>
      <c r="AR22" s="14">
        <f t="shared" si="4"/>
        <v>-1.035714285714286E-2</v>
      </c>
      <c r="AT22" s="14">
        <f t="shared" si="5"/>
        <v>-1.035714285714286E-2</v>
      </c>
      <c r="AV22" s="14">
        <f t="shared" si="6"/>
        <v>3.1642857142857139E-2</v>
      </c>
      <c r="AZ22" s="14">
        <f t="shared" si="7"/>
        <v>-5.7142857142857204E-3</v>
      </c>
      <c r="BB22" s="14">
        <f t="shared" si="8"/>
        <v>-5.7142857142857204E-3</v>
      </c>
      <c r="BD22" s="14">
        <f t="shared" si="9"/>
        <v>-1.7142857142857203E-3</v>
      </c>
      <c r="BG22" s="22">
        <f t="shared" si="15"/>
        <v>97.52487531218749</v>
      </c>
      <c r="BI22" s="14">
        <f t="shared" si="11"/>
        <v>-1.9438546453573145E-3</v>
      </c>
      <c r="BK22" s="14">
        <f t="shared" si="12"/>
        <v>-1.6682451839746093E-2</v>
      </c>
      <c r="BM22" s="14">
        <f t="shared" si="13"/>
        <v>-1.6145377691449501E-2</v>
      </c>
    </row>
    <row r="23" spans="2:65" x14ac:dyDescent="0.3">
      <c r="AI23" s="14">
        <f t="shared" si="14"/>
        <v>-3.0000000000000002E-2</v>
      </c>
      <c r="AK23" s="13">
        <f t="shared" si="1"/>
        <v>3.703571428571429E-2</v>
      </c>
      <c r="AM23" s="13">
        <f t="shared" si="2"/>
        <v>2.6292857142857146E-2</v>
      </c>
      <c r="AO23" s="13">
        <f t="shared" si="3"/>
        <v>4.9150000000000006E-2</v>
      </c>
      <c r="AR23" s="14">
        <f t="shared" si="4"/>
        <v>-1.6428571428571435E-2</v>
      </c>
      <c r="AT23" s="14">
        <f t="shared" si="5"/>
        <v>-1.6428571428571435E-2</v>
      </c>
      <c r="AV23" s="14">
        <f t="shared" si="6"/>
        <v>2.5571428571428568E-2</v>
      </c>
      <c r="AZ23" s="14">
        <f t="shared" si="7"/>
        <v>-1.2857142857142866E-2</v>
      </c>
      <c r="BB23" s="14">
        <f t="shared" si="8"/>
        <v>-1.2857142857142866E-2</v>
      </c>
      <c r="BD23" s="14">
        <f t="shared" si="9"/>
        <v>-8.8571428571428655E-3</v>
      </c>
      <c r="BG23" s="22">
        <f t="shared" si="15"/>
        <v>97.037250935626545</v>
      </c>
      <c r="BI23" s="14">
        <f t="shared" si="11"/>
        <v>-5.8448496578448889E-3</v>
      </c>
      <c r="BK23" s="14">
        <f t="shared" si="12"/>
        <v>-2.0583446852233664E-2</v>
      </c>
      <c r="BM23" s="14">
        <f t="shared" si="13"/>
        <v>-2.0046372703937072E-2</v>
      </c>
    </row>
    <row r="24" spans="2:65" x14ac:dyDescent="0.3">
      <c r="C24" s="14"/>
      <c r="AI24" s="14">
        <f t="shared" si="14"/>
        <v>-3.5000000000000003E-2</v>
      </c>
      <c r="AK24" s="13">
        <f t="shared" si="1"/>
        <v>3.9875000000000008E-2</v>
      </c>
      <c r="AM24" s="13">
        <f t="shared" si="2"/>
        <v>2.913214285714286E-2</v>
      </c>
      <c r="AO24" s="13">
        <f t="shared" si="3"/>
        <v>5.1989285714285724E-2</v>
      </c>
      <c r="AR24" s="14">
        <f t="shared" si="4"/>
        <v>-2.250000000000001E-2</v>
      </c>
      <c r="AT24" s="14">
        <f t="shared" si="5"/>
        <v>-2.250000000000001E-2</v>
      </c>
      <c r="AV24" s="14">
        <f t="shared" si="6"/>
        <v>1.9499999999999993E-2</v>
      </c>
      <c r="AZ24" s="14">
        <f t="shared" si="7"/>
        <v>-2.0000000000000004E-2</v>
      </c>
      <c r="BB24" s="14">
        <f t="shared" si="8"/>
        <v>-2.0000000000000004E-2</v>
      </c>
      <c r="BD24" s="14">
        <f t="shared" si="9"/>
        <v>-1.6000000000000004E-2</v>
      </c>
      <c r="BG24" s="22">
        <f t="shared" si="15"/>
        <v>96.552064680948419</v>
      </c>
      <c r="BI24" s="14">
        <f t="shared" si="11"/>
        <v>-9.7263396952698145E-3</v>
      </c>
      <c r="BK24" s="14">
        <f t="shared" si="12"/>
        <v>-2.4464936889658589E-2</v>
      </c>
      <c r="BM24" s="14">
        <f t="shared" si="13"/>
        <v>-2.3927862741361997E-2</v>
      </c>
    </row>
    <row r="25" spans="2:65" x14ac:dyDescent="0.3">
      <c r="O25" t="s">
        <v>35</v>
      </c>
      <c r="AI25" s="14">
        <f t="shared" si="14"/>
        <v>-0.04</v>
      </c>
      <c r="AK25" s="13">
        <f t="shared" si="1"/>
        <v>4.2714285714285719E-2</v>
      </c>
      <c r="AM25" s="13">
        <f t="shared" si="2"/>
        <v>3.1971428571428574E-2</v>
      </c>
      <c r="AO25" s="13">
        <f t="shared" si="3"/>
        <v>5.4828571428571435E-2</v>
      </c>
      <c r="AR25" s="14">
        <f t="shared" si="4"/>
        <v>-2.8571428571428577E-2</v>
      </c>
      <c r="AT25" s="14">
        <f t="shared" si="5"/>
        <v>-2.8571428571428577E-2</v>
      </c>
      <c r="AV25" s="14">
        <f t="shared" si="6"/>
        <v>1.3428571428571425E-2</v>
      </c>
      <c r="AZ25" s="14">
        <f t="shared" si="7"/>
        <v>-2.7142857142857149E-2</v>
      </c>
      <c r="BB25" s="14">
        <f t="shared" si="8"/>
        <v>-2.7142857142857149E-2</v>
      </c>
      <c r="BD25" s="14">
        <f t="shared" si="9"/>
        <v>-2.3142857142857149E-2</v>
      </c>
      <c r="BG25" s="22">
        <f t="shared" si="15"/>
        <v>96.069304357543672</v>
      </c>
      <c r="BI25" s="14">
        <f t="shared" si="11"/>
        <v>-1.3588422282507832E-2</v>
      </c>
      <c r="BK25" s="14">
        <f t="shared" si="12"/>
        <v>-2.8327019476896607E-2</v>
      </c>
      <c r="BM25" s="14">
        <f t="shared" si="13"/>
        <v>-2.7789945328600015E-2</v>
      </c>
    </row>
    <row r="26" spans="2:65" x14ac:dyDescent="0.3">
      <c r="B26" t="s">
        <v>14</v>
      </c>
      <c r="C26" s="6">
        <f>C11*C12^(C5-1)*($C$3*$C$8^(1-$C$11)+$C$39*$C$4*$C$9^(1-$C$11))</f>
        <v>8.2352941176470601E-2</v>
      </c>
      <c r="F26" s="2">
        <v>0.4</v>
      </c>
      <c r="I26" s="2">
        <v>0.03</v>
      </c>
      <c r="AI26" s="14">
        <f t="shared" ref="AI26:AI27" si="16">AI25-AI$30</f>
        <v>-4.4999999999999998E-2</v>
      </c>
      <c r="AK26" s="13">
        <f t="shared" si="1"/>
        <v>4.5553571428571429E-2</v>
      </c>
      <c r="AM26" s="13">
        <f t="shared" si="2"/>
        <v>3.4810714285714292E-2</v>
      </c>
      <c r="AO26" s="13">
        <f t="shared" si="3"/>
        <v>5.7667857142857146E-2</v>
      </c>
      <c r="AR26" s="14">
        <f t="shared" si="4"/>
        <v>-3.4642857142857142E-2</v>
      </c>
      <c r="AT26" s="14">
        <f t="shared" si="5"/>
        <v>-3.4642857142857142E-2</v>
      </c>
      <c r="AV26" s="14">
        <f t="shared" si="6"/>
        <v>7.3571428571428607E-3</v>
      </c>
      <c r="AZ26" s="14">
        <f t="shared" si="7"/>
        <v>-3.428571428571428E-2</v>
      </c>
      <c r="BB26" s="14">
        <f t="shared" si="8"/>
        <v>-3.428571428571428E-2</v>
      </c>
      <c r="BD26" s="14">
        <f t="shared" si="9"/>
        <v>-3.028571428571428E-2</v>
      </c>
      <c r="BG26" s="22">
        <f t="shared" si="15"/>
        <v>95.588957835755949</v>
      </c>
      <c r="BI26" s="14">
        <f t="shared" si="11"/>
        <v>-1.7431194456809608E-2</v>
      </c>
      <c r="BK26" s="14">
        <f t="shared" si="12"/>
        <v>-3.2169791651198383E-2</v>
      </c>
      <c r="BM26" s="14">
        <f t="shared" si="13"/>
        <v>-3.1632717502901787E-2</v>
      </c>
    </row>
    <row r="27" spans="2:65" x14ac:dyDescent="0.3">
      <c r="B27" t="s">
        <v>79</v>
      </c>
      <c r="C27" s="6">
        <f>(1-C6)*C26-C10</f>
        <v>2.0000000000000004E-2</v>
      </c>
      <c r="O27" t="s">
        <v>36</v>
      </c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I27" s="14">
        <f t="shared" si="16"/>
        <v>-4.9999999999999996E-2</v>
      </c>
      <c r="AK27" s="13">
        <f t="shared" si="1"/>
        <v>4.8392857142857147E-2</v>
      </c>
      <c r="AM27" s="13">
        <f t="shared" si="2"/>
        <v>3.7650000000000003E-2</v>
      </c>
      <c r="AO27" s="13">
        <f t="shared" si="3"/>
        <v>6.050714285714287E-2</v>
      </c>
      <c r="AR27" s="14">
        <f t="shared" si="4"/>
        <v>-4.0714285714285717E-2</v>
      </c>
      <c r="AT27" s="14">
        <f t="shared" si="5"/>
        <v>-4.0714285714285717E-2</v>
      </c>
      <c r="AV27" s="14">
        <f t="shared" si="6"/>
        <v>1.2857142857142859E-3</v>
      </c>
      <c r="AZ27" s="14">
        <f t="shared" si="7"/>
        <v>-4.1428571428571426E-2</v>
      </c>
      <c r="BB27" s="14">
        <f t="shared" si="8"/>
        <v>-4.1428571428571426E-2</v>
      </c>
      <c r="BD27" s="14">
        <f t="shared" si="9"/>
        <v>-3.7428571428571422E-2</v>
      </c>
      <c r="BG27" s="22">
        <f t="shared" si="15"/>
        <v>95.11101304657717</v>
      </c>
      <c r="BI27" s="14">
        <f t="shared" si="11"/>
        <v>-2.1254752770239804E-2</v>
      </c>
      <c r="BK27" s="14">
        <f t="shared" si="12"/>
        <v>-3.5993349964628579E-2</v>
      </c>
      <c r="BM27" s="14">
        <f t="shared" si="13"/>
        <v>-3.5456275816331984E-2</v>
      </c>
    </row>
    <row r="28" spans="2:65" x14ac:dyDescent="0.3">
      <c r="E28" t="s">
        <v>80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</row>
    <row r="29" spans="2:65" x14ac:dyDescent="0.3">
      <c r="R29" s="8">
        <f>($F$64*R9)/$J$77</f>
        <v>0</v>
      </c>
      <c r="T29" s="8">
        <f>($F$64*T9)/$J$77</f>
        <v>0</v>
      </c>
      <c r="V29" s="8">
        <f>($F$64*V9)/$J$77</f>
        <v>0</v>
      </c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BG29" s="34" t="s">
        <v>103</v>
      </c>
    </row>
    <row r="30" spans="2:65" x14ac:dyDescent="0.3"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I30" s="13">
        <v>5.0000000000000001E-3</v>
      </c>
      <c r="AK30" t="s">
        <v>55</v>
      </c>
      <c r="AM30" t="s">
        <v>56</v>
      </c>
      <c r="BA30" t="s">
        <v>55</v>
      </c>
      <c r="BC30" t="s">
        <v>56</v>
      </c>
      <c r="BG30" s="35">
        <v>5.0000000000000001E-3</v>
      </c>
    </row>
    <row r="31" spans="2:65" x14ac:dyDescent="0.3">
      <c r="B31" t="s">
        <v>18</v>
      </c>
      <c r="C31" s="1">
        <v>0.03</v>
      </c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K31" t="s">
        <v>21</v>
      </c>
      <c r="AM31" t="str">
        <f>AK31</f>
        <v>base</v>
      </c>
      <c r="BA31" t="s">
        <v>21</v>
      </c>
      <c r="BC31" t="str">
        <f>BA31</f>
        <v>base</v>
      </c>
      <c r="BI31" t="s">
        <v>21</v>
      </c>
    </row>
    <row r="32" spans="2:65" x14ac:dyDescent="0.3">
      <c r="F32" s="2">
        <v>0.05</v>
      </c>
      <c r="I32" s="2">
        <f>-F26</f>
        <v>-0.4</v>
      </c>
      <c r="O32" t="s">
        <v>37</v>
      </c>
      <c r="AK32" t="s">
        <v>53</v>
      </c>
      <c r="AL32" t="s">
        <v>54</v>
      </c>
      <c r="AM32" t="s">
        <v>53</v>
      </c>
      <c r="AN32" t="s">
        <v>54</v>
      </c>
      <c r="BA32" t="s">
        <v>53</v>
      </c>
      <c r="BB32" t="s">
        <v>54</v>
      </c>
      <c r="BC32" t="s">
        <v>53</v>
      </c>
      <c r="BD32" t="s">
        <v>54</v>
      </c>
      <c r="BI32" t="s">
        <v>53</v>
      </c>
      <c r="BJ32" t="s">
        <v>54</v>
      </c>
      <c r="BK32" t="s">
        <v>53</v>
      </c>
      <c r="BL32" t="s">
        <v>54</v>
      </c>
    </row>
    <row r="33" spans="2:64" x14ac:dyDescent="0.3">
      <c r="AK33" s="14">
        <f>R58</f>
        <v>0</v>
      </c>
      <c r="AL33" s="14">
        <v>-0.1</v>
      </c>
      <c r="AM33" s="14">
        <f>AK34</f>
        <v>0</v>
      </c>
      <c r="AN33" s="14">
        <f>AL34</f>
        <v>0.02</v>
      </c>
      <c r="BA33" s="14">
        <f>AK33</f>
        <v>0</v>
      </c>
      <c r="BB33" s="14">
        <v>-0.1</v>
      </c>
      <c r="BC33" s="14">
        <f>BA34</f>
        <v>0</v>
      </c>
      <c r="BD33" s="14">
        <f>BB34</f>
        <v>0.03</v>
      </c>
      <c r="BI33" s="14">
        <f>R106</f>
        <v>1.7857142857142804E-2</v>
      </c>
      <c r="BJ33">
        <v>0</v>
      </c>
      <c r="BK33" s="36">
        <v>-0.1</v>
      </c>
      <c r="BL33" s="22">
        <f>BJ34</f>
        <v>100</v>
      </c>
    </row>
    <row r="34" spans="2:64" x14ac:dyDescent="0.3">
      <c r="B34" t="s">
        <v>19</v>
      </c>
      <c r="C34" s="20">
        <f>C35+C36</f>
        <v>0.02</v>
      </c>
      <c r="R34" s="8">
        <f>($K$64*R8)/$J$77</f>
        <v>0</v>
      </c>
      <c r="T34" s="8">
        <f>($K$64*T8)/$J$77</f>
        <v>0</v>
      </c>
      <c r="V34" s="8">
        <f>($K$64*V8)/$J$77</f>
        <v>0</v>
      </c>
      <c r="AK34" s="14">
        <f>R58</f>
        <v>0</v>
      </c>
      <c r="AL34" s="14">
        <f>R72</f>
        <v>0.02</v>
      </c>
      <c r="AM34" s="14">
        <f>AM33</f>
        <v>0</v>
      </c>
      <c r="AN34" s="13">
        <f>AL34</f>
        <v>0.02</v>
      </c>
      <c r="BA34" s="14">
        <f>AK34</f>
        <v>0</v>
      </c>
      <c r="BB34" s="14">
        <f>R67</f>
        <v>0.03</v>
      </c>
      <c r="BC34" s="14">
        <f>BC33</f>
        <v>0</v>
      </c>
      <c r="BD34" s="13">
        <f>BB34</f>
        <v>0.03</v>
      </c>
      <c r="BI34" s="14">
        <f>BI33</f>
        <v>1.7857142857142804E-2</v>
      </c>
      <c r="BJ34" s="22">
        <f>R91</f>
        <v>100</v>
      </c>
      <c r="BK34" s="14">
        <f>BI34</f>
        <v>1.7857142857142804E-2</v>
      </c>
      <c r="BL34" s="22">
        <f>BL33</f>
        <v>100</v>
      </c>
    </row>
    <row r="35" spans="2:64" x14ac:dyDescent="0.3">
      <c r="B35" t="s">
        <v>66</v>
      </c>
      <c r="C35" s="6">
        <v>5.0000000000000001E-3</v>
      </c>
      <c r="AK35" t="str">
        <f>AK31</f>
        <v>base</v>
      </c>
      <c r="AM35" t="str">
        <f>AK35</f>
        <v>base</v>
      </c>
      <c r="BA35" t="str">
        <f>BA31</f>
        <v>base</v>
      </c>
      <c r="BC35" t="str">
        <f>BA35</f>
        <v>base</v>
      </c>
      <c r="BI35" t="s">
        <v>53</v>
      </c>
      <c r="BJ35" t="s">
        <v>54</v>
      </c>
    </row>
    <row r="36" spans="2:64" x14ac:dyDescent="0.3">
      <c r="B36" t="s">
        <v>67</v>
      </c>
      <c r="C36" s="6">
        <v>1.4999999999999999E-2</v>
      </c>
      <c r="E36" t="s">
        <v>94</v>
      </c>
      <c r="AK36" t="s">
        <v>53</v>
      </c>
      <c r="AL36" t="s">
        <v>54</v>
      </c>
      <c r="AM36" t="s">
        <v>53</v>
      </c>
      <c r="AN36" t="s">
        <v>54</v>
      </c>
      <c r="BA36" t="s">
        <v>53</v>
      </c>
      <c r="BB36" t="s">
        <v>54</v>
      </c>
      <c r="BC36" t="s">
        <v>53</v>
      </c>
      <c r="BD36" t="s">
        <v>54</v>
      </c>
      <c r="BI36" s="14">
        <f>BI33</f>
        <v>1.7857142857142804E-2</v>
      </c>
      <c r="BJ36" s="22">
        <f>BJ34</f>
        <v>100</v>
      </c>
    </row>
    <row r="37" spans="2:64" x14ac:dyDescent="0.3">
      <c r="O37" t="s">
        <v>38</v>
      </c>
      <c r="AK37" s="19">
        <v>-0.1</v>
      </c>
      <c r="AL37" s="14">
        <f>AL34</f>
        <v>0.02</v>
      </c>
      <c r="BA37" s="19">
        <v>-0.1</v>
      </c>
      <c r="BB37" s="14">
        <f>BB34</f>
        <v>0.03</v>
      </c>
      <c r="BI37" s="14">
        <f>BI36</f>
        <v>1.7857142857142804E-2</v>
      </c>
      <c r="BJ37" s="22">
        <f>BJ34</f>
        <v>100</v>
      </c>
    </row>
    <row r="38" spans="2:64" x14ac:dyDescent="0.3">
      <c r="B38" t="s">
        <v>68</v>
      </c>
      <c r="AK38" s="14">
        <f>AK34</f>
        <v>0</v>
      </c>
      <c r="AL38" s="14">
        <f>AL34</f>
        <v>0.02</v>
      </c>
      <c r="BA38" s="14">
        <f>BA34</f>
        <v>0</v>
      </c>
      <c r="BB38" s="14">
        <f>BB34</f>
        <v>0.03</v>
      </c>
    </row>
    <row r="39" spans="2:64" x14ac:dyDescent="0.3">
      <c r="B39" t="s">
        <v>69</v>
      </c>
      <c r="C39" s="21">
        <v>1</v>
      </c>
      <c r="R39" s="8">
        <f>((R4-($I$8*R5))/($H$14-$K$44))/$J$77</f>
        <v>0</v>
      </c>
      <c r="T39" s="8">
        <f>((T4-($I$8*T5))/($H$14-$K$44))/$J$77</f>
        <v>0</v>
      </c>
      <c r="V39" s="8">
        <f>((V4-($I$8*V5))/($H$14-$K$44))/$J$77</f>
        <v>0</v>
      </c>
    </row>
    <row r="40" spans="2:64" x14ac:dyDescent="0.3">
      <c r="B40" t="s">
        <v>70</v>
      </c>
      <c r="C40" s="21">
        <v>1</v>
      </c>
      <c r="AK40" t="s">
        <v>57</v>
      </c>
      <c r="AM40" t="str">
        <f>AK40</f>
        <v>(i)</v>
      </c>
      <c r="BA40" t="s">
        <v>57</v>
      </c>
      <c r="BC40" t="str">
        <f>BA40</f>
        <v>(i)</v>
      </c>
      <c r="BI40" t="s">
        <v>57</v>
      </c>
    </row>
    <row r="41" spans="2:64" x14ac:dyDescent="0.3">
      <c r="AK41" t="s">
        <v>53</v>
      </c>
      <c r="AL41" t="s">
        <v>54</v>
      </c>
      <c r="AM41" t="s">
        <v>53</v>
      </c>
      <c r="AN41" t="s">
        <v>54</v>
      </c>
      <c r="BA41" t="s">
        <v>53</v>
      </c>
      <c r="BB41" t="s">
        <v>54</v>
      </c>
      <c r="BC41" t="s">
        <v>53</v>
      </c>
      <c r="BD41" t="s">
        <v>54</v>
      </c>
      <c r="BI41" t="s">
        <v>53</v>
      </c>
      <c r="BJ41" t="s">
        <v>54</v>
      </c>
      <c r="BK41" t="s">
        <v>53</v>
      </c>
      <c r="BL41" t="s">
        <v>54</v>
      </c>
    </row>
    <row r="42" spans="2:64" x14ac:dyDescent="0.3">
      <c r="AK42" s="14">
        <f>T58</f>
        <v>-6.028056112224448E-3</v>
      </c>
      <c r="AL42" s="14">
        <v>-0.1</v>
      </c>
      <c r="AM42" s="14">
        <f>AK43</f>
        <v>-6.028056112224448E-3</v>
      </c>
      <c r="AN42" s="14">
        <f>AL43</f>
        <v>1.2680217578013169E-2</v>
      </c>
      <c r="BA42" s="14">
        <f>T58</f>
        <v>-6.028056112224448E-3</v>
      </c>
      <c r="BB42" s="14">
        <v>-0.1</v>
      </c>
      <c r="BC42" s="14">
        <f>BA43</f>
        <v>-6.028056112224448E-3</v>
      </c>
      <c r="BD42" s="14">
        <f>BB43</f>
        <v>2.1388491268250785E-2</v>
      </c>
      <c r="BI42" s="14">
        <f>T106</f>
        <v>8.9743716003434712E-3</v>
      </c>
      <c r="BJ42">
        <v>0</v>
      </c>
      <c r="BK42" s="36">
        <v>-0.1</v>
      </c>
      <c r="BL42" s="22">
        <f>BJ43</f>
        <v>100.73197824219868</v>
      </c>
    </row>
    <row r="43" spans="2:64" ht="15.6" x14ac:dyDescent="0.35">
      <c r="B43" t="s">
        <v>71</v>
      </c>
      <c r="C43" s="21">
        <f>((C34+C10)/(C11*(1-C6)*(($C$4*$C$9^(1-$C$11)+$C$39*$C$3*$C$8^(1-$C$11)))))^(1/(C5-1))</f>
        <v>66.789145600368926</v>
      </c>
      <c r="O43" t="s">
        <v>39</v>
      </c>
      <c r="AK43" s="14">
        <f>AK42</f>
        <v>-6.028056112224448E-3</v>
      </c>
      <c r="AL43" s="14">
        <f>T72</f>
        <v>1.2680217578013169E-2</v>
      </c>
      <c r="AM43" s="14">
        <f>AM42</f>
        <v>-6.028056112224448E-3</v>
      </c>
      <c r="AN43" s="1">
        <f>AL43</f>
        <v>1.2680217578013169E-2</v>
      </c>
      <c r="BA43" s="14">
        <f>BA42</f>
        <v>-6.028056112224448E-3</v>
      </c>
      <c r="BB43" s="14">
        <f>T67</f>
        <v>2.1388491268250785E-2</v>
      </c>
      <c r="BC43" s="14">
        <f>BC42</f>
        <v>-6.028056112224448E-3</v>
      </c>
      <c r="BD43" s="1">
        <f>BB43</f>
        <v>2.1388491268250785E-2</v>
      </c>
      <c r="BI43" s="14">
        <f>BI42</f>
        <v>8.9743716003434712E-3</v>
      </c>
      <c r="BJ43" s="22">
        <f>T91</f>
        <v>100.73197824219868</v>
      </c>
      <c r="BK43" s="14">
        <f>BI43</f>
        <v>8.9743716003434712E-3</v>
      </c>
      <c r="BL43" s="22">
        <f>BL42</f>
        <v>100.73197824219868</v>
      </c>
    </row>
    <row r="44" spans="2:64" x14ac:dyDescent="0.3">
      <c r="H44" s="4">
        <f>1-L8</f>
        <v>0.745</v>
      </c>
      <c r="K44" s="4">
        <f>F26-I32</f>
        <v>0.8</v>
      </c>
      <c r="AK44" t="str">
        <f>AK40</f>
        <v>(i)</v>
      </c>
      <c r="AM44" t="str">
        <f>AK44</f>
        <v>(i)</v>
      </c>
      <c r="BA44" t="str">
        <f>BA40</f>
        <v>(i)</v>
      </c>
      <c r="BC44" t="str">
        <f>BA44</f>
        <v>(i)</v>
      </c>
      <c r="BI44" t="s">
        <v>53</v>
      </c>
      <c r="BJ44" t="s">
        <v>54</v>
      </c>
    </row>
    <row r="45" spans="2:64" x14ac:dyDescent="0.3">
      <c r="R45" s="8">
        <f>R12/$J$77</f>
        <v>0</v>
      </c>
      <c r="T45" s="8">
        <f>T12/$J$77</f>
        <v>0</v>
      </c>
      <c r="V45" s="8">
        <f>V12/$J$77</f>
        <v>0</v>
      </c>
      <c r="AK45" t="s">
        <v>53</v>
      </c>
      <c r="AL45" t="s">
        <v>54</v>
      </c>
      <c r="AM45" t="s">
        <v>53</v>
      </c>
      <c r="AN45" t="s">
        <v>54</v>
      </c>
      <c r="BA45" t="s">
        <v>53</v>
      </c>
      <c r="BB45" t="s">
        <v>54</v>
      </c>
      <c r="BC45" t="s">
        <v>53</v>
      </c>
      <c r="BD45" t="s">
        <v>54</v>
      </c>
      <c r="BI45" s="14">
        <f>BI42</f>
        <v>8.9743716003434712E-3</v>
      </c>
      <c r="BJ45" s="22">
        <f>BJ43</f>
        <v>100.73197824219868</v>
      </c>
    </row>
    <row r="46" spans="2:64" x14ac:dyDescent="0.3">
      <c r="H46" s="4">
        <f>F26*(1-I26)+I32*I26</f>
        <v>0.376</v>
      </c>
      <c r="AK46" s="19">
        <v>-0.1</v>
      </c>
      <c r="AL46" s="14">
        <f>AL43</f>
        <v>1.2680217578013169E-2</v>
      </c>
      <c r="BA46" s="19">
        <v>-0.1</v>
      </c>
      <c r="BB46" s="14">
        <f>BB43</f>
        <v>2.1388491268250785E-2</v>
      </c>
      <c r="BI46" s="14">
        <f>BI45</f>
        <v>8.9743716003434712E-3</v>
      </c>
      <c r="BJ46" s="22">
        <f>BJ43</f>
        <v>100.73197824219868</v>
      </c>
    </row>
    <row r="47" spans="2:64" ht="15.6" x14ac:dyDescent="0.35">
      <c r="B47" t="s">
        <v>76</v>
      </c>
      <c r="C47" s="21">
        <f>((C34+C10)/(C11*(1-C6)*(($C$4*$C$9^(1-$C$11)+$C$39*$C$3*$C$8^(1-$C$11)))))^(C5/(C5-1))*($C$3*$C$8^(1-$C$11)+$C$39*$C$4*$C$9^(1-$C$11))</f>
        <v>18.334275262846369</v>
      </c>
      <c r="O47" t="s">
        <v>89</v>
      </c>
      <c r="AK47" s="14">
        <f>AK43</f>
        <v>-6.028056112224448E-3</v>
      </c>
      <c r="AL47" s="14">
        <f>AL43</f>
        <v>1.2680217578013169E-2</v>
      </c>
      <c r="BA47" s="14">
        <f>BA43</f>
        <v>-6.028056112224448E-3</v>
      </c>
      <c r="BB47" s="14">
        <f>BB43</f>
        <v>2.1388491268250785E-2</v>
      </c>
    </row>
    <row r="48" spans="2:64" x14ac:dyDescent="0.3">
      <c r="B48" t="s">
        <v>77</v>
      </c>
      <c r="C48" s="21">
        <f>((C34+C10)/(C11*(1-C6)*(($C$4*$C$9^(1-$C$11)+$C$39*$C$3*$C$8^(1-$C$11)))))^(C5/(C5-1))*($C$3*$C$8^(1-$C$11))</f>
        <v>16.8839699164078</v>
      </c>
      <c r="E48" t="s">
        <v>92</v>
      </c>
    </row>
    <row r="49" spans="2:64" x14ac:dyDescent="0.3">
      <c r="B49" t="s">
        <v>78</v>
      </c>
      <c r="C49" s="21">
        <f>((C34+C10)/(C11*(1-C6)*(($C$4*$C$9^(1-$C$11)+$C$39*$C$3*$C$8^(1-$C$11)))))^(C5/(C5-1))*($C$39*$C$4*$C$9^(1-$C$11))</f>
        <v>1.4503053464385667</v>
      </c>
      <c r="AK49" t="s">
        <v>58</v>
      </c>
      <c r="AM49" t="str">
        <f>AK49</f>
        <v>(ii)</v>
      </c>
      <c r="BA49" t="s">
        <v>58</v>
      </c>
      <c r="BC49" t="str">
        <f>BA49</f>
        <v>(ii)</v>
      </c>
    </row>
    <row r="50" spans="2:64" x14ac:dyDescent="0.3">
      <c r="R50" s="27">
        <f>(R15*($H$66+$K$44/($H$14-$K$44)))/$J$77</f>
        <v>0</v>
      </c>
      <c r="S50" s="28"/>
      <c r="T50" s="27">
        <f>(T15*($H$66+$K$44/($H$14-$K$44)))/$J$77</f>
        <v>0</v>
      </c>
      <c r="U50" s="28"/>
      <c r="V50" s="27">
        <f>(V15*($H$66+$K$44/($H$14-$K$44)))/$J$77</f>
        <v>-1.0741482965931861E-2</v>
      </c>
      <c r="AK50" t="s">
        <v>53</v>
      </c>
      <c r="AL50" t="s">
        <v>54</v>
      </c>
      <c r="AM50" t="s">
        <v>53</v>
      </c>
      <c r="AN50" t="s">
        <v>54</v>
      </c>
      <c r="BA50" t="s">
        <v>53</v>
      </c>
      <c r="BB50" t="s">
        <v>54</v>
      </c>
      <c r="BC50" t="s">
        <v>53</v>
      </c>
      <c r="BD50" t="s">
        <v>54</v>
      </c>
      <c r="BI50" t="s">
        <v>58</v>
      </c>
    </row>
    <row r="51" spans="2:64" x14ac:dyDescent="0.3">
      <c r="B51" t="s">
        <v>102</v>
      </c>
      <c r="C51" s="30">
        <v>100</v>
      </c>
      <c r="AK51" s="14">
        <f>V58</f>
        <v>-1.6769539078156308E-2</v>
      </c>
      <c r="AL51" s="14">
        <v>-0.1</v>
      </c>
      <c r="AM51" s="14">
        <f>AK52</f>
        <v>-1.6769539078156308E-2</v>
      </c>
      <c r="AN51" s="14">
        <f>AL52</f>
        <v>4.1636988262238772E-2</v>
      </c>
      <c r="BA51" s="14">
        <f>V58</f>
        <v>-1.6769539078156308E-2</v>
      </c>
      <c r="BB51" s="14">
        <v>-0.1</v>
      </c>
      <c r="BC51" s="14">
        <f>BA52</f>
        <v>-1.6769539078156308E-2</v>
      </c>
      <c r="BD51" s="14">
        <f>BB52</f>
        <v>1.0043515602633845E-2</v>
      </c>
      <c r="BI51" t="s">
        <v>53</v>
      </c>
      <c r="BJ51" t="s">
        <v>54</v>
      </c>
      <c r="BK51" t="s">
        <v>53</v>
      </c>
      <c r="BL51" t="s">
        <v>54</v>
      </c>
    </row>
    <row r="52" spans="2:64" x14ac:dyDescent="0.3">
      <c r="F52" s="4">
        <v>1.5</v>
      </c>
      <c r="H52" s="4">
        <v>0.5</v>
      </c>
      <c r="AK52" s="14">
        <f>AK51</f>
        <v>-1.6769539078156308E-2</v>
      </c>
      <c r="AL52" s="14">
        <f>V72</f>
        <v>4.1636988262238772E-2</v>
      </c>
      <c r="AM52" s="14">
        <f>AM51</f>
        <v>-1.6769539078156308E-2</v>
      </c>
      <c r="AN52" s="14">
        <f>AL52</f>
        <v>4.1636988262238772E-2</v>
      </c>
      <c r="BA52" s="14">
        <f>BA51</f>
        <v>-1.6769539078156308E-2</v>
      </c>
      <c r="BB52" s="14">
        <f>V67</f>
        <v>1.0043515602633845E-2</v>
      </c>
      <c r="BC52" s="14">
        <f>BC51</f>
        <v>-1.6769539078156308E-2</v>
      </c>
      <c r="BD52" s="14">
        <f>BB52</f>
        <v>1.0043515602633845E-2</v>
      </c>
      <c r="BI52" s="14">
        <f>V106</f>
        <v>1.8346029201259596E-2</v>
      </c>
      <c r="BJ52">
        <v>0</v>
      </c>
      <c r="BK52" s="36">
        <v>-0.1</v>
      </c>
      <c r="BL52" s="22">
        <f>BJ53</f>
        <v>101.83630117377614</v>
      </c>
    </row>
    <row r="53" spans="2:64" x14ac:dyDescent="0.3">
      <c r="O53" t="s">
        <v>95</v>
      </c>
      <c r="AK53" t="str">
        <f>AK49</f>
        <v>(ii)</v>
      </c>
      <c r="AM53" t="str">
        <f>AK53</f>
        <v>(ii)</v>
      </c>
      <c r="BA53" t="str">
        <f>BA49</f>
        <v>(ii)</v>
      </c>
      <c r="BC53" t="str">
        <f>BA53</f>
        <v>(ii)</v>
      </c>
      <c r="BI53" s="14">
        <f>BI52</f>
        <v>1.8346029201259596E-2</v>
      </c>
      <c r="BJ53" s="22">
        <f>V91</f>
        <v>101.83630117377614</v>
      </c>
      <c r="BK53" s="14">
        <f>BI53</f>
        <v>1.8346029201259596E-2</v>
      </c>
      <c r="BL53" s="22">
        <f>BL52</f>
        <v>101.83630117377614</v>
      </c>
    </row>
    <row r="54" spans="2:64" x14ac:dyDescent="0.3">
      <c r="E54" t="s">
        <v>91</v>
      </c>
      <c r="AK54" t="s">
        <v>53</v>
      </c>
      <c r="AL54" t="s">
        <v>54</v>
      </c>
      <c r="AM54" t="s">
        <v>53</v>
      </c>
      <c r="AN54" t="s">
        <v>54</v>
      </c>
      <c r="BA54" t="s">
        <v>53</v>
      </c>
      <c r="BB54" t="s">
        <v>54</v>
      </c>
      <c r="BC54" t="s">
        <v>53</v>
      </c>
      <c r="BD54" t="s">
        <v>54</v>
      </c>
      <c r="BI54" t="s">
        <v>53</v>
      </c>
      <c r="BJ54" t="s">
        <v>54</v>
      </c>
    </row>
    <row r="55" spans="2:64" x14ac:dyDescent="0.3">
      <c r="R55" s="27">
        <f>($H$46*R20/($H$14-$K$44))/$J$77</f>
        <v>0</v>
      </c>
      <c r="S55" s="28"/>
      <c r="T55" s="27">
        <f>($H$46*T20/($H$14-$K$44))/$J$77</f>
        <v>-6.028056112224448E-3</v>
      </c>
      <c r="U55" s="28"/>
      <c r="V55" s="27">
        <f>($H$46*V20/($H$14-$K$44))/$J$77</f>
        <v>-6.028056112224448E-3</v>
      </c>
      <c r="AK55" s="19">
        <v>-0.1</v>
      </c>
      <c r="AL55" s="14">
        <f>AL52</f>
        <v>4.1636988262238772E-2</v>
      </c>
      <c r="BA55" s="19">
        <v>-0.1</v>
      </c>
      <c r="BB55" s="14">
        <f>BB52</f>
        <v>1.0043515602633845E-2</v>
      </c>
      <c r="BI55" s="14">
        <f>BI52</f>
        <v>1.8346029201259596E-2</v>
      </c>
      <c r="BJ55" s="22">
        <f>BJ53</f>
        <v>101.83630117377614</v>
      </c>
    </row>
    <row r="56" spans="2:64" x14ac:dyDescent="0.3">
      <c r="AK56" s="14">
        <f>AK52</f>
        <v>-1.6769539078156308E-2</v>
      </c>
      <c r="AL56" s="14">
        <f>AL52</f>
        <v>4.1636988262238772E-2</v>
      </c>
      <c r="BA56" s="14">
        <f>BA52</f>
        <v>-1.6769539078156308E-2</v>
      </c>
      <c r="BB56" s="14">
        <f>BB52</f>
        <v>1.0043515602633845E-2</v>
      </c>
      <c r="BI56" s="14">
        <f>BI55</f>
        <v>1.8346029201259596E-2</v>
      </c>
      <c r="BJ56" s="22">
        <f>BJ53</f>
        <v>101.83630117377614</v>
      </c>
    </row>
    <row r="58" spans="2:64" x14ac:dyDescent="0.3">
      <c r="F58" s="4">
        <v>0.7</v>
      </c>
      <c r="I58" s="4">
        <v>0.1</v>
      </c>
      <c r="O58" t="s">
        <v>96</v>
      </c>
      <c r="R58" s="9">
        <f>R29-R34+R39+R45+R50+R55</f>
        <v>0</v>
      </c>
      <c r="S58" s="14"/>
      <c r="T58" s="9">
        <f>T29-T34+T39+T45+T50+T55</f>
        <v>-6.028056112224448E-3</v>
      </c>
      <c r="U58" s="14"/>
      <c r="V58" s="9">
        <f>V29-V34+V39+V45+V50+V55</f>
        <v>-1.6769539078156308E-2</v>
      </c>
    </row>
    <row r="60" spans="2:64" x14ac:dyDescent="0.3">
      <c r="E60" t="s">
        <v>93</v>
      </c>
    </row>
    <row r="64" spans="2:64" x14ac:dyDescent="0.3">
      <c r="F64" s="4">
        <f>F52</f>
        <v>1.5</v>
      </c>
      <c r="I64" s="4">
        <f>((F52-1)/F58)+H52</f>
        <v>1.2142857142857144</v>
      </c>
      <c r="K64" s="4">
        <f>((F52-1)/F58)</f>
        <v>0.7142857142857143</v>
      </c>
    </row>
    <row r="66" spans="5:22" x14ac:dyDescent="0.3">
      <c r="H66" s="4">
        <f>(F52-1)*I58+1</f>
        <v>1.05</v>
      </c>
      <c r="O66" t="s">
        <v>41</v>
      </c>
    </row>
    <row r="67" spans="5:22" x14ac:dyDescent="0.3">
      <c r="R67" s="9">
        <f>($C$31+R9)+(1/$F$58)*(R58-R8)+$I$58*R15</f>
        <v>0.03</v>
      </c>
      <c r="T67" s="9">
        <f>($C$31+T9)+(1/$F$58)*(T58-T8)+$I$58*T15</f>
        <v>2.1388491268250785E-2</v>
      </c>
      <c r="V67" s="9">
        <f>($C$31+V9)+(1/$F$58)*(V58-V8)+$I$58*V15</f>
        <v>1.0043515602633845E-2</v>
      </c>
    </row>
    <row r="68" spans="5:22" x14ac:dyDescent="0.3">
      <c r="E68" t="s">
        <v>90</v>
      </c>
    </row>
    <row r="71" spans="5:22" x14ac:dyDescent="0.3">
      <c r="O71" t="s">
        <v>42</v>
      </c>
    </row>
    <row r="72" spans="5:22" x14ac:dyDescent="0.3">
      <c r="R72" s="9">
        <f>$C$34+$F$64*R9+$I$64*R58-$K$64*R8+$H$66*R15+R12</f>
        <v>0.02</v>
      </c>
      <c r="T72" s="9">
        <f>$C$34+$F$64*T9+$I$64*T58-$K$64*T8+$H$66*T15+T12</f>
        <v>1.2680217578013169E-2</v>
      </c>
      <c r="V72" s="9">
        <f>$C$34+$F$64*V9+$I$64*V58-$K$64*V8+$H$66*V15+V12</f>
        <v>4.1636988262238772E-2</v>
      </c>
    </row>
    <row r="75" spans="5:22" x14ac:dyDescent="0.3">
      <c r="E75" t="s">
        <v>34</v>
      </c>
    </row>
    <row r="76" spans="5:22" x14ac:dyDescent="0.3">
      <c r="P76" t="s">
        <v>105</v>
      </c>
      <c r="R76" s="9">
        <f>($C$34-R72)+R15+(1-$I$26)*R20</f>
        <v>0</v>
      </c>
      <c r="T76" s="9">
        <f>($C$34-T72)+T15+(1-$I$26)*T20</f>
        <v>-3.148021757801317E-2</v>
      </c>
      <c r="V76" s="9">
        <f>($C$34-V72)+V15+(1-$I$26)*V20</f>
        <v>-2.0436988262238772E-2</v>
      </c>
    </row>
    <row r="77" spans="5:22" x14ac:dyDescent="0.3">
      <c r="J77" s="24">
        <f>(1-L8+F32)/(H14-K44)-I64</f>
        <v>-1.7821428571428575</v>
      </c>
    </row>
    <row r="80" spans="5:22" x14ac:dyDescent="0.3">
      <c r="J80" s="26"/>
    </row>
    <row r="82" spans="10:22" x14ac:dyDescent="0.3">
      <c r="J82" s="26"/>
      <c r="P82" t="s">
        <v>104</v>
      </c>
      <c r="R82" s="9">
        <f>($C$34-R72)+R15-$I$26*R20</f>
        <v>0</v>
      </c>
      <c r="T82" s="9">
        <f>($C$34-T72)+T15-$I$26*T20</f>
        <v>8.5197824219868309E-3</v>
      </c>
      <c r="V82" s="9">
        <f>($C$34-V72)+V15-$I$26*V20</f>
        <v>1.9563011737761229E-2</v>
      </c>
    </row>
    <row r="88" spans="10:22" x14ac:dyDescent="0.3">
      <c r="P88" t="s">
        <v>106</v>
      </c>
      <c r="R88" s="9">
        <f>R76-(1-$I$26)*R20</f>
        <v>0</v>
      </c>
      <c r="T88" s="9">
        <f>T76-(1-$I$26)*T20</f>
        <v>7.3197824219868313E-3</v>
      </c>
      <c r="V88" s="9">
        <f>V76-(1-$I$26)*V20</f>
        <v>1.8363011737761229E-2</v>
      </c>
    </row>
    <row r="89" spans="10:22" x14ac:dyDescent="0.3">
      <c r="P89" t="s">
        <v>107</v>
      </c>
    </row>
    <row r="91" spans="10:22" x14ac:dyDescent="0.3">
      <c r="P91" t="s">
        <v>108</v>
      </c>
      <c r="R91" s="32">
        <f>$C$51*(1+R88)</f>
        <v>100</v>
      </c>
      <c r="T91" s="32">
        <f>$C$51*(1+T88)</f>
        <v>100.73197824219868</v>
      </c>
      <c r="V91" s="32">
        <f>$C$51*(1+V88)</f>
        <v>101.83630117377614</v>
      </c>
    </row>
    <row r="92" spans="10:22" x14ac:dyDescent="0.3">
      <c r="P92" t="s">
        <v>109</v>
      </c>
    </row>
    <row r="94" spans="10:22" x14ac:dyDescent="0.3">
      <c r="P94" t="s">
        <v>46</v>
      </c>
    </row>
    <row r="95" spans="10:22" x14ac:dyDescent="0.3">
      <c r="P95" t="s">
        <v>47</v>
      </c>
      <c r="R95" s="11">
        <f>$C$13*(1+R58)</f>
        <v>18.334275262846369</v>
      </c>
      <c r="S95" s="12"/>
      <c r="T95" s="11">
        <f>$C$13*(1+T58)</f>
        <v>18.223755222784963</v>
      </c>
      <c r="U95" s="12"/>
      <c r="V95" s="11">
        <f>$C$13*(1+V58)</f>
        <v>18.026817917356393</v>
      </c>
    </row>
    <row r="96" spans="10:22" x14ac:dyDescent="0.3">
      <c r="P96" t="s">
        <v>43</v>
      </c>
      <c r="R96" s="11">
        <f>$C$13*($G$8+$L$8*R58-$I$8*R5)</f>
        <v>11.917278920850141</v>
      </c>
      <c r="S96" s="12"/>
      <c r="T96" s="11">
        <f>$C$13*($G$8+$L$8*T58-$I$8*T5)</f>
        <v>11.889096310634482</v>
      </c>
      <c r="U96" s="12"/>
      <c r="V96" s="11">
        <f>$C$13*($G$8+$L$8*V58-$I$8*V5)</f>
        <v>11.838877297750196</v>
      </c>
    </row>
    <row r="97" spans="16:22" x14ac:dyDescent="0.3">
      <c r="P97" t="s">
        <v>44</v>
      </c>
      <c r="R97" s="11">
        <f>$C$13*($F$14+$H$14*(R72-$C$34))</f>
        <v>3.3394572800184465</v>
      </c>
      <c r="S97" s="12"/>
      <c r="T97" s="11">
        <f>$C$13*($F$14+$H$14*(T72-$C$34))</f>
        <v>3.4199790234917566</v>
      </c>
      <c r="U97" s="12"/>
      <c r="V97" s="11">
        <f>$C$13*($F$14+$H$14*(V72-$C$34))</f>
        <v>3.1014381808231297</v>
      </c>
    </row>
    <row r="98" spans="16:22" x14ac:dyDescent="0.3">
      <c r="P98" t="s">
        <v>45</v>
      </c>
      <c r="R98" s="11">
        <f>$C$13*($F$19+R4)</f>
        <v>2.750141289426955</v>
      </c>
      <c r="S98" s="12"/>
      <c r="T98" s="11">
        <f>$C$13*($F$19+T4)</f>
        <v>2.750141289426955</v>
      </c>
      <c r="U98" s="12"/>
      <c r="V98" s="11">
        <f>$C$13*($F$19+V4)</f>
        <v>2.750141289426955</v>
      </c>
    </row>
    <row r="99" spans="16:22" x14ac:dyDescent="0.3">
      <c r="P99" t="s">
        <v>97</v>
      </c>
      <c r="R99" s="11">
        <f>R100-R101</f>
        <v>0.32739777255082703</v>
      </c>
      <c r="T99" s="11">
        <f>T100-T101</f>
        <v>0.16453859923176828</v>
      </c>
      <c r="V99" s="11">
        <f>V100-V101</f>
        <v>0.33636114935611094</v>
      </c>
    </row>
    <row r="100" spans="16:22" x14ac:dyDescent="0.3">
      <c r="P100" t="s">
        <v>98</v>
      </c>
      <c r="R100" s="11">
        <f>$C$13*($C$21-$F$26*(R72-$C$34)+$F$26*R15+$F$26*(1-$I$26)*R$20)</f>
        <v>1.4503053464385667</v>
      </c>
      <c r="T100" s="11">
        <f>$C$13*($C$21-$F$26*(T72-$C$34)+$F$26*T15+$F$26*(1-$I$26)*T$20)</f>
        <v>1.2194385566747312</v>
      </c>
      <c r="V100" s="11">
        <f>$C$13*($C$21-$F$26*(V72-$C$34)+$F$26*V15+$F$26*(1-$I$26)*V$20)</f>
        <v>1.3004263991011882</v>
      </c>
    </row>
    <row r="101" spans="16:22" x14ac:dyDescent="0.3">
      <c r="P101" t="s">
        <v>99</v>
      </c>
      <c r="R101" s="11">
        <f>$C$13*($C$22+$F$32*R58-$I$32*(R72-$C$34)+$I$32*R15-$I$32*$I$26*R$20)</f>
        <v>1.1229075738877397</v>
      </c>
      <c r="T101" s="11">
        <f>$C$13*($C$22+$F$32*T58-$I$32*(T72-$C$34)+$I$32*T15-$I$32*$I$26*T$20)</f>
        <v>1.0548999574429629</v>
      </c>
      <c r="V101" s="11">
        <f>$C$13*($C$22+$F$32*V58-$I$32*(V72-$C$34)+$I$32*V15-$I$32*$I$26*V$20)</f>
        <v>0.96406524974507724</v>
      </c>
    </row>
    <row r="106" spans="16:22" ht="16.2" x14ac:dyDescent="0.3">
      <c r="P106" t="s">
        <v>110</v>
      </c>
      <c r="R106" s="33">
        <f>R99/$C$13</f>
        <v>1.7857142857142804E-2</v>
      </c>
      <c r="T106" s="33">
        <f>T99/$C$13</f>
        <v>8.9743716003434712E-3</v>
      </c>
      <c r="V106" s="33">
        <f>V99/$C$13</f>
        <v>1.8346029201259596E-2</v>
      </c>
    </row>
    <row r="107" spans="16:22" ht="16.2" x14ac:dyDescent="0.3">
      <c r="P107" t="s">
        <v>111</v>
      </c>
      <c r="R107" s="14">
        <f>$C$20</f>
        <v>1.7857142857142794E-2</v>
      </c>
      <c r="T107" s="14">
        <f>$C$20</f>
        <v>1.7857142857142794E-2</v>
      </c>
      <c r="V107" s="14">
        <f>$C$20</f>
        <v>1.7857142857142794E-2</v>
      </c>
    </row>
    <row r="108" spans="16:22" x14ac:dyDescent="0.3">
      <c r="P108" t="s">
        <v>112</v>
      </c>
      <c r="R108" s="33">
        <f>R107-R106</f>
        <v>0</v>
      </c>
      <c r="T108" s="33">
        <f>T107-T106</f>
        <v>8.8827712567993225E-3</v>
      </c>
      <c r="V108" s="33">
        <f>V107-V106</f>
        <v>-4.888863441168019E-4</v>
      </c>
    </row>
    <row r="110" spans="16:22" x14ac:dyDescent="0.3">
      <c r="P110" t="s">
        <v>113</v>
      </c>
    </row>
    <row r="111" spans="16:22" x14ac:dyDescent="0.3">
      <c r="P111" t="s">
        <v>114</v>
      </c>
      <c r="R111" s="33">
        <f>R112+R113+R114+R115</f>
        <v>0</v>
      </c>
      <c r="S111" s="1"/>
      <c r="T111" s="33">
        <f>T112+T113+T114+T115</f>
        <v>-6.0280561122244471E-3</v>
      </c>
      <c r="U111" s="1"/>
      <c r="V111" s="33">
        <f>V112+V113+V114+V115</f>
        <v>-1.6769539078156325E-2</v>
      </c>
    </row>
    <row r="112" spans="16:22" x14ac:dyDescent="0.3">
      <c r="P112" t="s">
        <v>43</v>
      </c>
      <c r="R112" s="33">
        <f>($L$8*R58-$I$8*R5)</f>
        <v>0</v>
      </c>
      <c r="S112" s="1"/>
      <c r="T112" s="33">
        <f>($L$8*T58-$I$8*T5)</f>
        <v>-1.5371543086172342E-3</v>
      </c>
      <c r="U112" s="1"/>
      <c r="V112" s="33">
        <f>($L$8*V58-$I$8*V5)</f>
        <v>-4.276232464929859E-3</v>
      </c>
    </row>
    <row r="113" spans="16:22" x14ac:dyDescent="0.3">
      <c r="P113" t="s">
        <v>44</v>
      </c>
      <c r="R113" s="33">
        <f>($H$14*(R72-$C$34))</f>
        <v>0</v>
      </c>
      <c r="S113" s="1"/>
      <c r="T113" s="33">
        <f>($H$14*(T72-$C$34))</f>
        <v>4.3918694531920989E-3</v>
      </c>
      <c r="U113" s="1"/>
      <c r="V113" s="33">
        <f>($H$14*(V72-$C$34))</f>
        <v>-1.2982192957343262E-2</v>
      </c>
    </row>
    <row r="114" spans="16:22" x14ac:dyDescent="0.3">
      <c r="P114" t="s">
        <v>45</v>
      </c>
      <c r="R114" s="33">
        <f>(R4)</f>
        <v>0</v>
      </c>
      <c r="S114" s="1"/>
      <c r="T114" s="33">
        <f>(T4)</f>
        <v>0</v>
      </c>
      <c r="U114" s="1"/>
      <c r="V114" s="33">
        <f>(V4)</f>
        <v>0</v>
      </c>
    </row>
    <row r="115" spans="16:22" x14ac:dyDescent="0.3">
      <c r="P115" t="s">
        <v>97</v>
      </c>
      <c r="R115" s="33">
        <f>R116-R117</f>
        <v>0</v>
      </c>
      <c r="S115" s="1"/>
      <c r="T115" s="33">
        <f>T116-T117</f>
        <v>-8.8827712567993121E-3</v>
      </c>
      <c r="U115" s="1"/>
      <c r="V115" s="33">
        <f>V116-V117</f>
        <v>4.8888634411679496E-4</v>
      </c>
    </row>
    <row r="116" spans="16:22" x14ac:dyDescent="0.3">
      <c r="P116" t="s">
        <v>98</v>
      </c>
      <c r="R116" s="33">
        <f>(-$F$26*(R72-$C$34)+$F$26*R15+$F$26*(1-$I$26)*R$20)</f>
        <v>0</v>
      </c>
      <c r="S116" s="1"/>
      <c r="T116" s="33">
        <f>(-$F$26*(T72-$C$34)+$F$26*T15+$F$26*(1-$I$26)*T$20)</f>
        <v>-1.2592087031205268E-2</v>
      </c>
      <c r="U116" s="1"/>
      <c r="V116" s="33">
        <f>(-$F$26*(V72-$C$34)+$F$26*V15+$F$26*(1-$I$26)*V$20)</f>
        <v>-8.1747953048955102E-3</v>
      </c>
    </row>
    <row r="117" spans="16:22" x14ac:dyDescent="0.3">
      <c r="P117" t="s">
        <v>99</v>
      </c>
      <c r="R117" s="33">
        <f>(+$F$32*R58-$I$32*(R72-$C$34)+$I$32*R15-$I$32*$I$26*R$20)</f>
        <v>0</v>
      </c>
      <c r="S117" s="1"/>
      <c r="T117" s="33">
        <f>(+$F$32*T58-$I$32*(T72-$C$34)+$I$32*T15-$I$32*$I$26*T$20)</f>
        <v>-3.7093157744059551E-3</v>
      </c>
      <c r="U117" s="1"/>
      <c r="V117" s="33">
        <f>(+$F$32*V58-$I$32*(V72-$C$34)+$I$32*V15-$I$32*$I$26*V$20)</f>
        <v>-8.6636816490123052E-3</v>
      </c>
    </row>
    <row r="121" spans="16:22" x14ac:dyDescent="0.3">
      <c r="P121" t="s">
        <v>48</v>
      </c>
      <c r="R121" s="10" t="str">
        <f>IF(ABS(R95-R96-R97-R98-R99)&lt;=0.0001,"OK","")</f>
        <v>OK</v>
      </c>
      <c r="T121" s="10" t="str">
        <f>IF(ABS(T95-T96-T97-T98-T99)&lt;=0.0001,"OK","")</f>
        <v>OK</v>
      </c>
      <c r="V121" s="10" t="str">
        <f>IF(ABS(V95-V96-V97-V98-V99)&lt;=0.0001,"OK","")</f>
        <v>OK</v>
      </c>
    </row>
    <row r="122" spans="16:22" x14ac:dyDescent="0.3">
      <c r="R122" s="26">
        <f>R95-R96-R97-R98-R99</f>
        <v>-6.6613381477509392E-16</v>
      </c>
      <c r="T122" s="26">
        <f>T95-T96-T97-T98-T99</f>
        <v>6.6613381477509392E-16</v>
      </c>
      <c r="V122" s="26">
        <f>V95-V96-V97-V98-V99</f>
        <v>1.1102230246251565E-15</v>
      </c>
    </row>
    <row r="123" spans="16:22" x14ac:dyDescent="0.3">
      <c r="R123" s="22"/>
      <c r="T123" s="26"/>
      <c r="V123" s="26"/>
    </row>
    <row r="124" spans="16:22" x14ac:dyDescent="0.3">
      <c r="R124" s="22"/>
      <c r="T124" s="26"/>
      <c r="V124" s="26"/>
    </row>
    <row r="125" spans="16:22" x14ac:dyDescent="0.3">
      <c r="R125" s="22"/>
      <c r="T125" s="26"/>
      <c r="V125" s="26"/>
    </row>
  </sheetData>
  <sheetProtection sheet="1" objects="1" scenarios="1"/>
  <protectedRanges>
    <protectedRange sqref="V21:V22" name="Range15"/>
    <protectedRange sqref="T21:T22" name="Range14"/>
    <protectedRange sqref="R21:R22" name="Range13"/>
    <protectedRange sqref="V16:V17" name="Range12"/>
    <protectedRange sqref="T16:T17" name="Range11"/>
    <protectedRange sqref="R16:R17" name="Range10"/>
    <protectedRange sqref="V12" name="Range9"/>
    <protectedRange sqref="T12" name="Range8"/>
    <protectedRange sqref="R12" name="Range7"/>
    <protectedRange sqref="V8:V9" name="Range6"/>
    <protectedRange sqref="T8:T9" name="Range5"/>
    <protectedRange sqref="R8:R9" name="Range4"/>
    <protectedRange sqref="V4:V5" name="Range3"/>
    <protectedRange sqref="T4:T5" name="Range2"/>
    <protectedRange sqref="R4:R5" name="Range1"/>
  </protectedRange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1026" r:id="rId4">
          <objectPr defaultSize="0" autoPict="0" r:id="rId5">
            <anchor moveWithCells="1">
              <from>
                <xdr:col>4</xdr:col>
                <xdr:colOff>22860</xdr:colOff>
                <xdr:row>7</xdr:row>
                <xdr:rowOff>22860</xdr:rowOff>
              </from>
              <to>
                <xdr:col>5</xdr:col>
                <xdr:colOff>381000</xdr:colOff>
                <xdr:row>7</xdr:row>
                <xdr:rowOff>152400</xdr:rowOff>
              </to>
            </anchor>
          </objectPr>
        </oleObject>
      </mc:Choice>
      <mc:Fallback>
        <oleObject progId="Equation.DSMT4" shapeId="1026" r:id="rId4"/>
      </mc:Fallback>
    </mc:AlternateContent>
    <mc:AlternateContent xmlns:mc="http://schemas.openxmlformats.org/markup-compatibility/2006">
      <mc:Choice Requires="x14">
        <oleObject progId="Equation.DSMT4" shapeId="1028" r:id="rId6">
          <objectPr defaultSize="0" autoPict="0" r:id="rId7">
            <anchor moveWithCells="1">
              <from>
                <xdr:col>4</xdr:col>
                <xdr:colOff>7620</xdr:colOff>
                <xdr:row>4</xdr:row>
                <xdr:rowOff>22860</xdr:rowOff>
              </from>
              <to>
                <xdr:col>9</xdr:col>
                <xdr:colOff>289560</xdr:colOff>
                <xdr:row>6</xdr:row>
                <xdr:rowOff>7620</xdr:rowOff>
              </to>
            </anchor>
          </objectPr>
        </oleObject>
      </mc:Choice>
      <mc:Fallback>
        <oleObject progId="Equation.DSMT4" shapeId="1028" r:id="rId6"/>
      </mc:Fallback>
    </mc:AlternateContent>
    <mc:AlternateContent xmlns:mc="http://schemas.openxmlformats.org/markup-compatibility/2006">
      <mc:Choice Requires="x14">
        <oleObject progId="Equation.DSMT4" shapeId="1029" r:id="rId8">
          <objectPr defaultSize="0" autoPict="0" r:id="rId9">
            <anchor moveWithCells="1">
              <from>
                <xdr:col>7</xdr:col>
                <xdr:colOff>144780</xdr:colOff>
                <xdr:row>7</xdr:row>
                <xdr:rowOff>22860</xdr:rowOff>
              </from>
              <to>
                <xdr:col>7</xdr:col>
                <xdr:colOff>693420</xdr:colOff>
                <xdr:row>8</xdr:row>
                <xdr:rowOff>0</xdr:rowOff>
              </to>
            </anchor>
          </objectPr>
        </oleObject>
      </mc:Choice>
      <mc:Fallback>
        <oleObject progId="Equation.DSMT4" shapeId="1029" r:id="rId8"/>
      </mc:Fallback>
    </mc:AlternateContent>
    <mc:AlternateContent xmlns:mc="http://schemas.openxmlformats.org/markup-compatibility/2006">
      <mc:Choice Requires="x14">
        <oleObject progId="Equation.DSMT4" shapeId="1030" r:id="rId10">
          <objectPr defaultSize="0" autoPict="0" r:id="rId11">
            <anchor moveWithCells="1">
              <from>
                <xdr:col>9</xdr:col>
                <xdr:colOff>365760</xdr:colOff>
                <xdr:row>7</xdr:row>
                <xdr:rowOff>30480</xdr:rowOff>
              </from>
              <to>
                <xdr:col>10</xdr:col>
                <xdr:colOff>708660</xdr:colOff>
                <xdr:row>8</xdr:row>
                <xdr:rowOff>0</xdr:rowOff>
              </to>
            </anchor>
          </objectPr>
        </oleObject>
      </mc:Choice>
      <mc:Fallback>
        <oleObject progId="Equation.DSMT4" shapeId="1030" r:id="rId10"/>
      </mc:Fallback>
    </mc:AlternateContent>
    <mc:AlternateContent xmlns:mc="http://schemas.openxmlformats.org/markup-compatibility/2006">
      <mc:Choice Requires="x14">
        <oleObject progId="Equation.DSMT4" shapeId="1033" r:id="rId12">
          <objectPr defaultSize="0" autoPict="0" r:id="rId13">
            <anchor moveWithCells="1">
              <from>
                <xdr:col>6</xdr:col>
                <xdr:colOff>350520</xdr:colOff>
                <xdr:row>12</xdr:row>
                <xdr:rowOff>160020</xdr:rowOff>
              </from>
              <to>
                <xdr:col>6</xdr:col>
                <xdr:colOff>563880</xdr:colOff>
                <xdr:row>14</xdr:row>
                <xdr:rowOff>30480</xdr:rowOff>
              </to>
            </anchor>
          </objectPr>
        </oleObject>
      </mc:Choice>
      <mc:Fallback>
        <oleObject progId="Equation.DSMT4" shapeId="1033" r:id="rId12"/>
      </mc:Fallback>
    </mc:AlternateContent>
    <mc:AlternateContent xmlns:mc="http://schemas.openxmlformats.org/markup-compatibility/2006">
      <mc:Choice Requires="x14">
        <oleObject progId="Equation.DSMT4" shapeId="1034" r:id="rId14">
          <objectPr defaultSize="0" autoPict="0" r:id="rId15">
            <anchor moveWithCells="1">
              <from>
                <xdr:col>4</xdr:col>
                <xdr:colOff>45720</xdr:colOff>
                <xdr:row>16</xdr:row>
                <xdr:rowOff>38100</xdr:rowOff>
              </from>
              <to>
                <xdr:col>5</xdr:col>
                <xdr:colOff>525780</xdr:colOff>
                <xdr:row>17</xdr:row>
                <xdr:rowOff>121920</xdr:rowOff>
              </to>
            </anchor>
          </objectPr>
        </oleObject>
      </mc:Choice>
      <mc:Fallback>
        <oleObject progId="Equation.DSMT4" shapeId="1034" r:id="rId14"/>
      </mc:Fallback>
    </mc:AlternateContent>
    <mc:AlternateContent xmlns:mc="http://schemas.openxmlformats.org/markup-compatibility/2006">
      <mc:Choice Requires="x14">
        <oleObject progId="Equation.DSMT4" shapeId="1035" r:id="rId16">
          <objectPr defaultSize="0" autoPict="0" r:id="rId17">
            <anchor moveWithCells="1">
              <from>
                <xdr:col>4</xdr:col>
                <xdr:colOff>327660</xdr:colOff>
                <xdr:row>18</xdr:row>
                <xdr:rowOff>22860</xdr:rowOff>
              </from>
              <to>
                <xdr:col>4</xdr:col>
                <xdr:colOff>480060</xdr:colOff>
                <xdr:row>18</xdr:row>
                <xdr:rowOff>175260</xdr:rowOff>
              </to>
            </anchor>
          </objectPr>
        </oleObject>
      </mc:Choice>
      <mc:Fallback>
        <oleObject progId="Equation.DSMT4" shapeId="1035" r:id="rId16"/>
      </mc:Fallback>
    </mc:AlternateContent>
    <mc:AlternateContent xmlns:mc="http://schemas.openxmlformats.org/markup-compatibility/2006">
      <mc:Choice Requires="x14">
        <oleObject progId="Equation.DSMT4" shapeId="1037" r:id="rId18">
          <objectPr defaultSize="0" autoPict="0" r:id="rId19">
            <anchor moveWithCells="1">
              <from>
                <xdr:col>4</xdr:col>
                <xdr:colOff>38100</xdr:colOff>
                <xdr:row>42</xdr:row>
                <xdr:rowOff>160020</xdr:rowOff>
              </from>
              <to>
                <xdr:col>6</xdr:col>
                <xdr:colOff>144780</xdr:colOff>
                <xdr:row>44</xdr:row>
                <xdr:rowOff>7620</xdr:rowOff>
              </to>
            </anchor>
          </objectPr>
        </oleObject>
      </mc:Choice>
      <mc:Fallback>
        <oleObject progId="Equation.DSMT4" shapeId="1037" r:id="rId18"/>
      </mc:Fallback>
    </mc:AlternateContent>
    <mc:AlternateContent xmlns:mc="http://schemas.openxmlformats.org/markup-compatibility/2006">
      <mc:Choice Requires="x14">
        <oleObject progId="Equation.DSMT4" shapeId="1039" r:id="rId20">
          <objectPr defaultSize="0" autoPict="0" r:id="rId21">
            <anchor moveWithCells="1">
              <from>
                <xdr:col>0</xdr:col>
                <xdr:colOff>251460</xdr:colOff>
                <xdr:row>19</xdr:row>
                <xdr:rowOff>30480</xdr:rowOff>
              </from>
              <to>
                <xdr:col>0</xdr:col>
                <xdr:colOff>373380</xdr:colOff>
                <xdr:row>20</xdr:row>
                <xdr:rowOff>7620</xdr:rowOff>
              </to>
            </anchor>
          </objectPr>
        </oleObject>
      </mc:Choice>
      <mc:Fallback>
        <oleObject progId="Equation.DSMT4" shapeId="1039" r:id="rId20"/>
      </mc:Fallback>
    </mc:AlternateContent>
    <mc:AlternateContent xmlns:mc="http://schemas.openxmlformats.org/markup-compatibility/2006">
      <mc:Choice Requires="x14">
        <oleObject progId="Equation.DSMT4" shapeId="1042" r:id="rId22">
          <objectPr defaultSize="0" autoPict="0" r:id="rId23">
            <anchor moveWithCells="1">
              <from>
                <xdr:col>0</xdr:col>
                <xdr:colOff>236220</xdr:colOff>
                <xdr:row>18</xdr:row>
                <xdr:rowOff>7620</xdr:rowOff>
              </from>
              <to>
                <xdr:col>0</xdr:col>
                <xdr:colOff>403860</xdr:colOff>
                <xdr:row>19</xdr:row>
                <xdr:rowOff>0</xdr:rowOff>
              </to>
            </anchor>
          </objectPr>
        </oleObject>
      </mc:Choice>
      <mc:Fallback>
        <oleObject progId="Equation.DSMT4" shapeId="1042" r:id="rId22"/>
      </mc:Fallback>
    </mc:AlternateContent>
    <mc:AlternateContent xmlns:mc="http://schemas.openxmlformats.org/markup-compatibility/2006">
      <mc:Choice Requires="x14">
        <oleObject progId="Equation.DSMT4" shapeId="1045" r:id="rId24">
          <objectPr defaultSize="0" autoPict="0" r:id="rId25">
            <anchor moveWithCells="1">
              <from>
                <xdr:col>4</xdr:col>
                <xdr:colOff>266700</xdr:colOff>
                <xdr:row>57</xdr:row>
                <xdr:rowOff>22860</xdr:rowOff>
              </from>
              <to>
                <xdr:col>4</xdr:col>
                <xdr:colOff>381000</xdr:colOff>
                <xdr:row>57</xdr:row>
                <xdr:rowOff>175260</xdr:rowOff>
              </to>
            </anchor>
          </objectPr>
        </oleObject>
      </mc:Choice>
      <mc:Fallback>
        <oleObject progId="Equation.DSMT4" shapeId="1045" r:id="rId24"/>
      </mc:Fallback>
    </mc:AlternateContent>
    <mc:AlternateContent xmlns:mc="http://schemas.openxmlformats.org/markup-compatibility/2006">
      <mc:Choice Requires="x14">
        <oleObject progId="Equation.DSMT4" shapeId="1047" r:id="rId26">
          <objectPr defaultSize="0" autoPict="0" r:id="rId27">
            <anchor moveWithCells="1">
              <from>
                <xdr:col>4</xdr:col>
                <xdr:colOff>45720</xdr:colOff>
                <xdr:row>63</xdr:row>
                <xdr:rowOff>7620</xdr:rowOff>
              </from>
              <to>
                <xdr:col>4</xdr:col>
                <xdr:colOff>457200</xdr:colOff>
                <xdr:row>63</xdr:row>
                <xdr:rowOff>175260</xdr:rowOff>
              </to>
            </anchor>
          </objectPr>
        </oleObject>
      </mc:Choice>
      <mc:Fallback>
        <oleObject progId="Equation.DSMT4" shapeId="1047" r:id="rId26"/>
      </mc:Fallback>
    </mc:AlternateContent>
    <mc:AlternateContent xmlns:mc="http://schemas.openxmlformats.org/markup-compatibility/2006">
      <mc:Choice Requires="x14">
        <oleObject progId="Equation.DSMT4" shapeId="1049" r:id="rId28">
          <objectPr defaultSize="0" autoPict="0" r:id="rId29">
            <anchor moveWithCells="1">
              <from>
                <xdr:col>4</xdr:col>
                <xdr:colOff>266700</xdr:colOff>
                <xdr:row>51</xdr:row>
                <xdr:rowOff>22860</xdr:rowOff>
              </from>
              <to>
                <xdr:col>4</xdr:col>
                <xdr:colOff>403860</xdr:colOff>
                <xdr:row>51</xdr:row>
                <xdr:rowOff>175260</xdr:rowOff>
              </to>
            </anchor>
          </objectPr>
        </oleObject>
      </mc:Choice>
      <mc:Fallback>
        <oleObject progId="Equation.DSMT4" shapeId="1049" r:id="rId28"/>
      </mc:Fallback>
    </mc:AlternateContent>
    <mc:AlternateContent xmlns:mc="http://schemas.openxmlformats.org/markup-compatibility/2006">
      <mc:Choice Requires="x14">
        <oleObject progId="Equation.DSMT4" shapeId="1050" r:id="rId30">
          <objectPr defaultSize="0" autoPict="0" r:id="rId31">
            <anchor moveWithCells="1">
              <from>
                <xdr:col>6</xdr:col>
                <xdr:colOff>236220</xdr:colOff>
                <xdr:row>51</xdr:row>
                <xdr:rowOff>22860</xdr:rowOff>
              </from>
              <to>
                <xdr:col>6</xdr:col>
                <xdr:colOff>441960</xdr:colOff>
                <xdr:row>52</xdr:row>
                <xdr:rowOff>22860</xdr:rowOff>
              </to>
            </anchor>
          </objectPr>
        </oleObject>
      </mc:Choice>
      <mc:Fallback>
        <oleObject progId="Equation.DSMT4" shapeId="1050" r:id="rId30"/>
      </mc:Fallback>
    </mc:AlternateContent>
    <mc:AlternateContent xmlns:mc="http://schemas.openxmlformats.org/markup-compatibility/2006">
      <mc:Choice Requires="x14">
        <oleObject progId="Equation.DSMT4" shapeId="1052" r:id="rId32">
          <objectPr defaultSize="0" autoPict="0" r:id="rId33">
            <anchor moveWithCells="1">
              <from>
                <xdr:col>6</xdr:col>
                <xdr:colOff>297180</xdr:colOff>
                <xdr:row>62</xdr:row>
                <xdr:rowOff>175260</xdr:rowOff>
              </from>
              <to>
                <xdr:col>7</xdr:col>
                <xdr:colOff>655320</xdr:colOff>
                <xdr:row>64</xdr:row>
                <xdr:rowOff>121920</xdr:rowOff>
              </to>
            </anchor>
          </objectPr>
        </oleObject>
      </mc:Choice>
      <mc:Fallback>
        <oleObject progId="Equation.DSMT4" shapeId="1052" r:id="rId32"/>
      </mc:Fallback>
    </mc:AlternateContent>
    <mc:AlternateContent xmlns:mc="http://schemas.openxmlformats.org/markup-compatibility/2006">
      <mc:Choice Requires="x14">
        <oleObject progId="Equation.DSMT4" shapeId="1053" r:id="rId34">
          <objectPr defaultSize="0" autoPict="0" r:id="rId35">
            <anchor moveWithCells="1">
              <from>
                <xdr:col>9</xdr:col>
                <xdr:colOff>76200</xdr:colOff>
                <xdr:row>62</xdr:row>
                <xdr:rowOff>152400</xdr:rowOff>
              </from>
              <to>
                <xdr:col>9</xdr:col>
                <xdr:colOff>678180</xdr:colOff>
                <xdr:row>64</xdr:row>
                <xdr:rowOff>83820</xdr:rowOff>
              </to>
            </anchor>
          </objectPr>
        </oleObject>
      </mc:Choice>
      <mc:Fallback>
        <oleObject progId="Equation.DSMT4" shapeId="1053" r:id="rId34"/>
      </mc:Fallback>
    </mc:AlternateContent>
    <mc:AlternateContent xmlns:mc="http://schemas.openxmlformats.org/markup-compatibility/2006">
      <mc:Choice Requires="x14">
        <oleObject progId="Equation.DSMT4" shapeId="1054" r:id="rId36">
          <objectPr defaultSize="0" autoPict="0" r:id="rId37">
            <anchor moveWithCells="1">
              <from>
                <xdr:col>16</xdr:col>
                <xdr:colOff>137160</xdr:colOff>
                <xdr:row>3</xdr:row>
                <xdr:rowOff>22860</xdr:rowOff>
              </from>
              <to>
                <xdr:col>16</xdr:col>
                <xdr:colOff>289560</xdr:colOff>
                <xdr:row>3</xdr:row>
                <xdr:rowOff>160020</xdr:rowOff>
              </to>
            </anchor>
          </objectPr>
        </oleObject>
      </mc:Choice>
      <mc:Fallback>
        <oleObject progId="Equation.DSMT4" shapeId="1054" r:id="rId36"/>
      </mc:Fallback>
    </mc:AlternateContent>
    <mc:AlternateContent xmlns:mc="http://schemas.openxmlformats.org/markup-compatibility/2006">
      <mc:Choice Requires="x14">
        <oleObject progId="Equation.DSMT4" shapeId="1055" r:id="rId38">
          <objectPr defaultSize="0" autoPict="0" r:id="rId39">
            <anchor moveWithCells="1">
              <from>
                <xdr:col>16</xdr:col>
                <xdr:colOff>144780</xdr:colOff>
                <xdr:row>4</xdr:row>
                <xdr:rowOff>22860</xdr:rowOff>
              </from>
              <to>
                <xdr:col>16</xdr:col>
                <xdr:colOff>274320</xdr:colOff>
                <xdr:row>5</xdr:row>
                <xdr:rowOff>0</xdr:rowOff>
              </to>
            </anchor>
          </objectPr>
        </oleObject>
      </mc:Choice>
      <mc:Fallback>
        <oleObject progId="Equation.DSMT4" shapeId="1055" r:id="rId38"/>
      </mc:Fallback>
    </mc:AlternateContent>
    <mc:AlternateContent xmlns:mc="http://schemas.openxmlformats.org/markup-compatibility/2006">
      <mc:Choice Requires="x14">
        <oleObject progId="Equation.DSMT4" shapeId="1056" r:id="rId40">
          <objectPr defaultSize="0" autoPict="0" r:id="rId41">
            <anchor moveWithCells="1">
              <from>
                <xdr:col>16</xdr:col>
                <xdr:colOff>137160</xdr:colOff>
                <xdr:row>7</xdr:row>
                <xdr:rowOff>30480</xdr:rowOff>
              </from>
              <to>
                <xdr:col>16</xdr:col>
                <xdr:colOff>289560</xdr:colOff>
                <xdr:row>7</xdr:row>
                <xdr:rowOff>190500</xdr:rowOff>
              </to>
            </anchor>
          </objectPr>
        </oleObject>
      </mc:Choice>
      <mc:Fallback>
        <oleObject progId="Equation.DSMT4" shapeId="1056" r:id="rId40"/>
      </mc:Fallback>
    </mc:AlternateContent>
    <mc:AlternateContent xmlns:mc="http://schemas.openxmlformats.org/markup-compatibility/2006">
      <mc:Choice Requires="x14">
        <oleObject progId="Equation.DSMT4" shapeId="1057" r:id="rId42">
          <objectPr defaultSize="0" autoPict="0" r:id="rId43">
            <anchor moveWithCells="1">
              <from>
                <xdr:col>16</xdr:col>
                <xdr:colOff>30480</xdr:colOff>
                <xdr:row>8</xdr:row>
                <xdr:rowOff>22860</xdr:rowOff>
              </from>
              <to>
                <xdr:col>16</xdr:col>
                <xdr:colOff>411480</xdr:colOff>
                <xdr:row>8</xdr:row>
                <xdr:rowOff>175260</xdr:rowOff>
              </to>
            </anchor>
          </objectPr>
        </oleObject>
      </mc:Choice>
      <mc:Fallback>
        <oleObject progId="Equation.DSMT4" shapeId="1057" r:id="rId42"/>
      </mc:Fallback>
    </mc:AlternateContent>
    <mc:AlternateContent xmlns:mc="http://schemas.openxmlformats.org/markup-compatibility/2006">
      <mc:Choice Requires="x14">
        <oleObject progId="Equation.DSMT4" shapeId="1060" r:id="rId44">
          <objectPr defaultSize="0" autoPict="0" r:id="rId45">
            <anchor moveWithCells="1">
              <from>
                <xdr:col>16</xdr:col>
                <xdr:colOff>137160</xdr:colOff>
                <xdr:row>11</xdr:row>
                <xdr:rowOff>22860</xdr:rowOff>
              </from>
              <to>
                <xdr:col>16</xdr:col>
                <xdr:colOff>327660</xdr:colOff>
                <xdr:row>11</xdr:row>
                <xdr:rowOff>175260</xdr:rowOff>
              </to>
            </anchor>
          </objectPr>
        </oleObject>
      </mc:Choice>
      <mc:Fallback>
        <oleObject progId="Equation.DSMT4" shapeId="1060" r:id="rId44"/>
      </mc:Fallback>
    </mc:AlternateContent>
    <mc:AlternateContent xmlns:mc="http://schemas.openxmlformats.org/markup-compatibility/2006">
      <mc:Choice Requires="x14">
        <oleObject progId="Equation.DSMT4" shapeId="1073" r:id="rId46">
          <objectPr defaultSize="0" r:id="rId47">
            <anchor moveWithCells="1">
              <from>
                <xdr:col>3</xdr:col>
                <xdr:colOff>693420</xdr:colOff>
                <xdr:row>21</xdr:row>
                <xdr:rowOff>160020</xdr:rowOff>
              </from>
              <to>
                <xdr:col>8</xdr:col>
                <xdr:colOff>723900</xdr:colOff>
                <xdr:row>24</xdr:row>
                <xdr:rowOff>0</xdr:rowOff>
              </to>
            </anchor>
          </objectPr>
        </oleObject>
      </mc:Choice>
      <mc:Fallback>
        <oleObject progId="Equation.DSMT4" shapeId="1073" r:id="rId46"/>
      </mc:Fallback>
    </mc:AlternateContent>
    <mc:AlternateContent xmlns:mc="http://schemas.openxmlformats.org/markup-compatibility/2006">
      <mc:Choice Requires="x14">
        <oleObject progId="Equation.DSMT4" shapeId="1080" r:id="rId48">
          <objectPr defaultSize="0" autoPict="0" r:id="rId49">
            <anchor moveWithCells="1">
              <from>
                <xdr:col>0</xdr:col>
                <xdr:colOff>708660</xdr:colOff>
                <xdr:row>40</xdr:row>
                <xdr:rowOff>83820</xdr:rowOff>
              </from>
              <to>
                <xdr:col>1</xdr:col>
                <xdr:colOff>1859280</xdr:colOff>
                <xdr:row>42</xdr:row>
                <xdr:rowOff>76200</xdr:rowOff>
              </to>
            </anchor>
          </objectPr>
        </oleObject>
      </mc:Choice>
      <mc:Fallback>
        <oleObject progId="Equation.DSMT4" shapeId="1080" r:id="rId48"/>
      </mc:Fallback>
    </mc:AlternateContent>
    <mc:AlternateContent xmlns:mc="http://schemas.openxmlformats.org/markup-compatibility/2006">
      <mc:Choice Requires="x14">
        <oleObject progId="Equation.DSMT4" shapeId="1081" r:id="rId50">
          <objectPr defaultSize="0" autoPict="0" r:id="rId51">
            <anchor moveWithCells="1">
              <from>
                <xdr:col>0</xdr:col>
                <xdr:colOff>655320</xdr:colOff>
                <xdr:row>43</xdr:row>
                <xdr:rowOff>99060</xdr:rowOff>
              </from>
              <to>
                <xdr:col>3</xdr:col>
                <xdr:colOff>76200</xdr:colOff>
                <xdr:row>46</xdr:row>
                <xdr:rowOff>7620</xdr:rowOff>
              </to>
            </anchor>
          </objectPr>
        </oleObject>
      </mc:Choice>
      <mc:Fallback>
        <oleObject progId="Equation.DSMT4" shapeId="1081" r:id="rId50"/>
      </mc:Fallback>
    </mc:AlternateContent>
    <mc:AlternateContent xmlns:mc="http://schemas.openxmlformats.org/markup-compatibility/2006">
      <mc:Choice Requires="x14">
        <oleObject progId="Equation.DSMT4" shapeId="1082" r:id="rId52">
          <objectPr defaultSize="0" r:id="rId53">
            <anchor moveWithCells="1">
              <from>
                <xdr:col>0</xdr:col>
                <xdr:colOff>693420</xdr:colOff>
                <xdr:row>27</xdr:row>
                <xdr:rowOff>60960</xdr:rowOff>
              </from>
              <to>
                <xdr:col>2</xdr:col>
                <xdr:colOff>289560</xdr:colOff>
                <xdr:row>28</xdr:row>
                <xdr:rowOff>121920</xdr:rowOff>
              </to>
            </anchor>
          </objectPr>
        </oleObject>
      </mc:Choice>
      <mc:Fallback>
        <oleObject progId="Equation.DSMT4" shapeId="1082" r:id="rId52"/>
      </mc:Fallback>
    </mc:AlternateContent>
    <mc:AlternateContent xmlns:mc="http://schemas.openxmlformats.org/markup-compatibility/2006">
      <mc:Choice Requires="x14">
        <oleObject progId="Equation.DSMT4" shapeId="1083" r:id="rId54">
          <objectPr defaultSize="0" autoPict="0" r:id="rId55">
            <anchor moveWithCells="1">
              <from>
                <xdr:col>4</xdr:col>
                <xdr:colOff>464820</xdr:colOff>
                <xdr:row>25</xdr:row>
                <xdr:rowOff>0</xdr:rowOff>
              </from>
              <to>
                <xdr:col>4</xdr:col>
                <xdr:colOff>647700</xdr:colOff>
                <xdr:row>26</xdr:row>
                <xdr:rowOff>22860</xdr:rowOff>
              </to>
            </anchor>
          </objectPr>
        </oleObject>
      </mc:Choice>
      <mc:Fallback>
        <oleObject progId="Equation.DSMT4" shapeId="1083" r:id="rId54"/>
      </mc:Fallback>
    </mc:AlternateContent>
    <mc:AlternateContent xmlns:mc="http://schemas.openxmlformats.org/markup-compatibility/2006">
      <mc:Choice Requires="x14">
        <oleObject progId="Equation.DSMT4" shapeId="1084" r:id="rId56">
          <objectPr defaultSize="0" r:id="rId57">
            <anchor moveWithCells="1">
              <from>
                <xdr:col>7</xdr:col>
                <xdr:colOff>381000</xdr:colOff>
                <xdr:row>25</xdr:row>
                <xdr:rowOff>30480</xdr:rowOff>
              </from>
              <to>
                <xdr:col>7</xdr:col>
                <xdr:colOff>533400</xdr:colOff>
                <xdr:row>26</xdr:row>
                <xdr:rowOff>0</xdr:rowOff>
              </to>
            </anchor>
          </objectPr>
        </oleObject>
      </mc:Choice>
      <mc:Fallback>
        <oleObject progId="Equation.DSMT4" shapeId="1084" r:id="rId56"/>
      </mc:Fallback>
    </mc:AlternateContent>
    <mc:AlternateContent xmlns:mc="http://schemas.openxmlformats.org/markup-compatibility/2006">
      <mc:Choice Requires="x14">
        <oleObject progId="Equation.DSMT4" shapeId="1085" r:id="rId58">
          <objectPr defaultSize="0" r:id="rId59">
            <anchor moveWithCells="1">
              <from>
                <xdr:col>4</xdr:col>
                <xdr:colOff>251460</xdr:colOff>
                <xdr:row>30</xdr:row>
                <xdr:rowOff>175260</xdr:rowOff>
              </from>
              <to>
                <xdr:col>4</xdr:col>
                <xdr:colOff>632460</xdr:colOff>
                <xdr:row>32</xdr:row>
                <xdr:rowOff>22860</xdr:rowOff>
              </to>
            </anchor>
          </objectPr>
        </oleObject>
      </mc:Choice>
      <mc:Fallback>
        <oleObject progId="Equation.DSMT4" shapeId="1085" r:id="rId58"/>
      </mc:Fallback>
    </mc:AlternateContent>
    <mc:AlternateContent xmlns:mc="http://schemas.openxmlformats.org/markup-compatibility/2006">
      <mc:Choice Requires="x14">
        <oleObject progId="Equation.DSMT4" shapeId="1086" r:id="rId60">
          <objectPr defaultSize="0" autoPict="0" r:id="rId61">
            <anchor moveWithCells="1">
              <from>
                <xdr:col>4</xdr:col>
                <xdr:colOff>7620</xdr:colOff>
                <xdr:row>28</xdr:row>
                <xdr:rowOff>60960</xdr:rowOff>
              </from>
              <to>
                <xdr:col>9</xdr:col>
                <xdr:colOff>685800</xdr:colOff>
                <xdr:row>30</xdr:row>
                <xdr:rowOff>99060</xdr:rowOff>
              </to>
            </anchor>
          </objectPr>
        </oleObject>
      </mc:Choice>
      <mc:Fallback>
        <oleObject progId="Equation.DSMT4" shapeId="1086" r:id="rId60"/>
      </mc:Fallback>
    </mc:AlternateContent>
    <mc:AlternateContent xmlns:mc="http://schemas.openxmlformats.org/markup-compatibility/2006">
      <mc:Choice Requires="x14">
        <oleObject progId="Equation.DSMT4" shapeId="1087" r:id="rId62">
          <objectPr defaultSize="0" r:id="rId63">
            <anchor moveWithCells="1">
              <from>
                <xdr:col>7</xdr:col>
                <xdr:colOff>198120</xdr:colOff>
                <xdr:row>31</xdr:row>
                <xdr:rowOff>0</xdr:rowOff>
              </from>
              <to>
                <xdr:col>7</xdr:col>
                <xdr:colOff>457200</xdr:colOff>
                <xdr:row>32</xdr:row>
                <xdr:rowOff>60960</xdr:rowOff>
              </to>
            </anchor>
          </objectPr>
        </oleObject>
      </mc:Choice>
      <mc:Fallback>
        <oleObject progId="Equation.DSMT4" shapeId="1087" r:id="rId62"/>
      </mc:Fallback>
    </mc:AlternateContent>
    <mc:AlternateContent xmlns:mc="http://schemas.openxmlformats.org/markup-compatibility/2006">
      <mc:Choice Requires="x14">
        <oleObject progId="Equation.DSMT4" shapeId="1088" r:id="rId64">
          <objectPr defaultSize="0" autoPict="0" r:id="rId65">
            <anchor moveWithCells="1">
              <from>
                <xdr:col>15</xdr:col>
                <xdr:colOff>2971800</xdr:colOff>
                <xdr:row>15</xdr:row>
                <xdr:rowOff>0</xdr:rowOff>
              </from>
              <to>
                <xdr:col>16</xdr:col>
                <xdr:colOff>411480</xdr:colOff>
                <xdr:row>16</xdr:row>
                <xdr:rowOff>0</xdr:rowOff>
              </to>
            </anchor>
          </objectPr>
        </oleObject>
      </mc:Choice>
      <mc:Fallback>
        <oleObject progId="Equation.DSMT4" shapeId="1088" r:id="rId64"/>
      </mc:Fallback>
    </mc:AlternateContent>
    <mc:AlternateContent xmlns:mc="http://schemas.openxmlformats.org/markup-compatibility/2006">
      <mc:Choice Requires="x14">
        <oleObject progId="Equation.DSMT4" shapeId="1089" r:id="rId66">
          <objectPr defaultSize="0" autoPict="0" r:id="rId67">
            <anchor moveWithCells="1">
              <from>
                <xdr:col>15</xdr:col>
                <xdr:colOff>2994660</xdr:colOff>
                <xdr:row>16</xdr:row>
                <xdr:rowOff>60960</xdr:rowOff>
              </from>
              <to>
                <xdr:col>16</xdr:col>
                <xdr:colOff>289560</xdr:colOff>
                <xdr:row>17</xdr:row>
                <xdr:rowOff>45720</xdr:rowOff>
              </to>
            </anchor>
          </objectPr>
        </oleObject>
      </mc:Choice>
      <mc:Fallback>
        <oleObject progId="Equation.DSMT4" shapeId="1089" r:id="rId66"/>
      </mc:Fallback>
    </mc:AlternateContent>
    <mc:AlternateContent xmlns:mc="http://schemas.openxmlformats.org/markup-compatibility/2006">
      <mc:Choice Requires="x14">
        <oleObject progId="Equation.DSMT4" shapeId="1096" r:id="rId68">
          <objectPr defaultSize="0" autoPict="0" r:id="rId69">
            <anchor moveWithCells="1">
              <from>
                <xdr:col>4</xdr:col>
                <xdr:colOff>99060</xdr:colOff>
                <xdr:row>68</xdr:row>
                <xdr:rowOff>83820</xdr:rowOff>
              </from>
              <to>
                <xdr:col>11</xdr:col>
                <xdr:colOff>251460</xdr:colOff>
                <xdr:row>72</xdr:row>
                <xdr:rowOff>68580</xdr:rowOff>
              </to>
            </anchor>
          </objectPr>
        </oleObject>
      </mc:Choice>
      <mc:Fallback>
        <oleObject progId="Equation.DSMT4" shapeId="1096" r:id="rId68"/>
      </mc:Fallback>
    </mc:AlternateContent>
    <mc:AlternateContent xmlns:mc="http://schemas.openxmlformats.org/markup-compatibility/2006">
      <mc:Choice Requires="x14">
        <oleObject progId="Equation.DSMT4" shapeId="1097" r:id="rId70">
          <objectPr defaultSize="0" autoPict="0" r:id="rId71">
            <anchor moveWithCells="1">
              <from>
                <xdr:col>4</xdr:col>
                <xdr:colOff>83820</xdr:colOff>
                <xdr:row>75</xdr:row>
                <xdr:rowOff>76200</xdr:rowOff>
              </from>
              <to>
                <xdr:col>8</xdr:col>
                <xdr:colOff>365760</xdr:colOff>
                <xdr:row>78</xdr:row>
                <xdr:rowOff>0</xdr:rowOff>
              </to>
            </anchor>
          </objectPr>
        </oleObject>
      </mc:Choice>
      <mc:Fallback>
        <oleObject progId="Equation.DSMT4" shapeId="1097" r:id="rId70"/>
      </mc:Fallback>
    </mc:AlternateContent>
    <mc:AlternateContent xmlns:mc="http://schemas.openxmlformats.org/markup-compatibility/2006">
      <mc:Choice Requires="x14">
        <oleObject progId="Equation.DSMT4" shapeId="1098" r:id="rId72">
          <objectPr defaultSize="0" r:id="rId73">
            <anchor moveWithCells="1">
              <from>
                <xdr:col>4</xdr:col>
                <xdr:colOff>30480</xdr:colOff>
                <xdr:row>60</xdr:row>
                <xdr:rowOff>22860</xdr:rowOff>
              </from>
              <to>
                <xdr:col>10</xdr:col>
                <xdr:colOff>457200</xdr:colOff>
                <xdr:row>61</xdr:row>
                <xdr:rowOff>121920</xdr:rowOff>
              </to>
            </anchor>
          </objectPr>
        </oleObject>
      </mc:Choice>
      <mc:Fallback>
        <oleObject progId="Equation.DSMT4" shapeId="1098" r:id="rId72"/>
      </mc:Fallback>
    </mc:AlternateContent>
    <mc:AlternateContent xmlns:mc="http://schemas.openxmlformats.org/markup-compatibility/2006">
      <mc:Choice Requires="x14">
        <oleObject progId="Equation.DSMT4" shapeId="1099" r:id="rId74">
          <objectPr defaultSize="0" autoPict="0" r:id="rId75">
            <anchor moveWithCells="1">
              <from>
                <xdr:col>4</xdr:col>
                <xdr:colOff>106680</xdr:colOff>
                <xdr:row>54</xdr:row>
                <xdr:rowOff>68580</xdr:rowOff>
              </from>
              <to>
                <xdr:col>7</xdr:col>
                <xdr:colOff>99060</xdr:colOff>
                <xdr:row>56</xdr:row>
                <xdr:rowOff>60960</xdr:rowOff>
              </to>
            </anchor>
          </objectPr>
        </oleObject>
      </mc:Choice>
      <mc:Fallback>
        <oleObject progId="Equation.DSMT4" shapeId="1099" r:id="rId74"/>
      </mc:Fallback>
    </mc:AlternateContent>
    <mc:AlternateContent xmlns:mc="http://schemas.openxmlformats.org/markup-compatibility/2006">
      <mc:Choice Requires="x14">
        <oleObject progId="Equation.DSMT4" shapeId="1100" r:id="rId76">
          <objectPr defaultSize="0" r:id="rId77">
            <anchor moveWithCells="1">
              <from>
                <xdr:col>4</xdr:col>
                <xdr:colOff>137160</xdr:colOff>
                <xdr:row>48</xdr:row>
                <xdr:rowOff>99060</xdr:rowOff>
              </from>
              <to>
                <xdr:col>9</xdr:col>
                <xdr:colOff>251460</xdr:colOff>
                <xdr:row>50</xdr:row>
                <xdr:rowOff>7620</xdr:rowOff>
              </to>
            </anchor>
          </objectPr>
        </oleObject>
      </mc:Choice>
      <mc:Fallback>
        <oleObject progId="Equation.DSMT4" shapeId="1100" r:id="rId76"/>
      </mc:Fallback>
    </mc:AlternateContent>
    <mc:AlternateContent xmlns:mc="http://schemas.openxmlformats.org/markup-compatibility/2006">
      <mc:Choice Requires="x14">
        <oleObject progId="Equation.DSMT4" shapeId="1103" r:id="rId78">
          <objectPr defaultSize="0" autoPict="0" r:id="rId79">
            <anchor moveWithCells="1">
              <from>
                <xdr:col>15</xdr:col>
                <xdr:colOff>30480</xdr:colOff>
                <xdr:row>27</xdr:row>
                <xdr:rowOff>121920</xdr:rowOff>
              </from>
              <to>
                <xdr:col>16</xdr:col>
                <xdr:colOff>175260</xdr:colOff>
                <xdr:row>29</xdr:row>
                <xdr:rowOff>137160</xdr:rowOff>
              </to>
            </anchor>
          </objectPr>
        </oleObject>
      </mc:Choice>
      <mc:Fallback>
        <oleObject progId="Equation.DSMT4" shapeId="1103" r:id="rId78"/>
      </mc:Fallback>
    </mc:AlternateContent>
    <mc:AlternateContent xmlns:mc="http://schemas.openxmlformats.org/markup-compatibility/2006">
      <mc:Choice Requires="x14">
        <oleObject progId="Equation.DSMT4" shapeId="1104" r:id="rId80">
          <objectPr defaultSize="0" autoPict="0" r:id="rId81">
            <anchor moveWithCells="1">
              <from>
                <xdr:col>15</xdr:col>
                <xdr:colOff>76200</xdr:colOff>
                <xdr:row>33</xdr:row>
                <xdr:rowOff>22860</xdr:rowOff>
              </from>
              <to>
                <xdr:col>15</xdr:col>
                <xdr:colOff>2133600</xdr:colOff>
                <xdr:row>35</xdr:row>
                <xdr:rowOff>22860</xdr:rowOff>
              </to>
            </anchor>
          </objectPr>
        </oleObject>
      </mc:Choice>
      <mc:Fallback>
        <oleObject progId="Equation.DSMT4" shapeId="1104" r:id="rId80"/>
      </mc:Fallback>
    </mc:AlternateContent>
    <mc:AlternateContent xmlns:mc="http://schemas.openxmlformats.org/markup-compatibility/2006">
      <mc:Choice Requires="x14">
        <oleObject progId="Equation.DSMT4" shapeId="1105" r:id="rId82">
          <objectPr defaultSize="0" autoPict="0" r:id="rId83">
            <anchor moveWithCells="1">
              <from>
                <xdr:col>15</xdr:col>
                <xdr:colOff>45720</xdr:colOff>
                <xdr:row>38</xdr:row>
                <xdr:rowOff>22860</xdr:rowOff>
              </from>
              <to>
                <xdr:col>15</xdr:col>
                <xdr:colOff>1859280</xdr:colOff>
                <xdr:row>41</xdr:row>
                <xdr:rowOff>45720</xdr:rowOff>
              </to>
            </anchor>
          </objectPr>
        </oleObject>
      </mc:Choice>
      <mc:Fallback>
        <oleObject progId="Equation.DSMT4" shapeId="1105" r:id="rId82"/>
      </mc:Fallback>
    </mc:AlternateContent>
    <mc:AlternateContent xmlns:mc="http://schemas.openxmlformats.org/markup-compatibility/2006">
      <mc:Choice Requires="x14">
        <oleObject progId="Equation.DSMT4" shapeId="1106" r:id="rId84">
          <objectPr defaultSize="0" autoPict="0" r:id="rId85">
            <anchor moveWithCells="1">
              <from>
                <xdr:col>15</xdr:col>
                <xdr:colOff>22860</xdr:colOff>
                <xdr:row>43</xdr:row>
                <xdr:rowOff>83820</xdr:rowOff>
              </from>
              <to>
                <xdr:col>16</xdr:col>
                <xdr:colOff>114300</xdr:colOff>
                <xdr:row>45</xdr:row>
                <xdr:rowOff>137160</xdr:rowOff>
              </to>
            </anchor>
          </objectPr>
        </oleObject>
      </mc:Choice>
      <mc:Fallback>
        <oleObject progId="Equation.DSMT4" shapeId="1106" r:id="rId84"/>
      </mc:Fallback>
    </mc:AlternateContent>
    <mc:AlternateContent xmlns:mc="http://schemas.openxmlformats.org/markup-compatibility/2006">
      <mc:Choice Requires="x14">
        <oleObject progId="Equation.DSMT4" shapeId="1107" r:id="rId86">
          <objectPr defaultSize="0" autoPict="0" r:id="rId87">
            <anchor moveWithCells="1">
              <from>
                <xdr:col>14</xdr:col>
                <xdr:colOff>76200</xdr:colOff>
                <xdr:row>48</xdr:row>
                <xdr:rowOff>0</xdr:rowOff>
              </from>
              <to>
                <xdr:col>16</xdr:col>
                <xdr:colOff>251460</xdr:colOff>
                <xdr:row>50</xdr:row>
                <xdr:rowOff>76200</xdr:rowOff>
              </to>
            </anchor>
          </objectPr>
        </oleObject>
      </mc:Choice>
      <mc:Fallback>
        <oleObject progId="Equation.DSMT4" shapeId="1107" r:id="rId86"/>
      </mc:Fallback>
    </mc:AlternateContent>
    <mc:AlternateContent xmlns:mc="http://schemas.openxmlformats.org/markup-compatibility/2006">
      <mc:Choice Requires="x14">
        <oleObject progId="Equation.DSMT4" shapeId="1108" r:id="rId88">
          <objectPr defaultSize="0" autoPict="0" r:id="rId89">
            <anchor moveWithCells="1">
              <from>
                <xdr:col>14</xdr:col>
                <xdr:colOff>99060</xdr:colOff>
                <xdr:row>53</xdr:row>
                <xdr:rowOff>68580</xdr:rowOff>
              </from>
              <to>
                <xdr:col>16</xdr:col>
                <xdr:colOff>99060</xdr:colOff>
                <xdr:row>56</xdr:row>
                <xdr:rowOff>76200</xdr:rowOff>
              </to>
            </anchor>
          </objectPr>
        </oleObject>
      </mc:Choice>
      <mc:Fallback>
        <oleObject progId="Equation.DSMT4" shapeId="1108" r:id="rId88"/>
      </mc:Fallback>
    </mc:AlternateContent>
    <mc:AlternateContent xmlns:mc="http://schemas.openxmlformats.org/markup-compatibility/2006">
      <mc:Choice Requires="x14">
        <oleObject progId="Equation.DSMT4" shapeId="1110" r:id="rId90">
          <objectPr defaultSize="0" r:id="rId91">
            <anchor moveWithCells="1">
              <from>
                <xdr:col>14</xdr:col>
                <xdr:colOff>76200</xdr:colOff>
                <xdr:row>66</xdr:row>
                <xdr:rowOff>76200</xdr:rowOff>
              </from>
              <to>
                <xdr:col>15</xdr:col>
                <xdr:colOff>1836420</xdr:colOff>
                <xdr:row>68</xdr:row>
                <xdr:rowOff>76200</xdr:rowOff>
              </to>
            </anchor>
          </objectPr>
        </oleObject>
      </mc:Choice>
      <mc:Fallback>
        <oleObject progId="Equation.DSMT4" shapeId="1110" r:id="rId90"/>
      </mc:Fallback>
    </mc:AlternateContent>
    <mc:AlternateContent xmlns:mc="http://schemas.openxmlformats.org/markup-compatibility/2006">
      <mc:Choice Requires="x14">
        <oleObject progId="Equation.DSMT4" shapeId="1111" r:id="rId92">
          <objectPr defaultSize="0" r:id="rId93">
            <anchor moveWithCells="1">
              <from>
                <xdr:col>15</xdr:col>
                <xdr:colOff>45720</xdr:colOff>
                <xdr:row>72</xdr:row>
                <xdr:rowOff>152400</xdr:rowOff>
              </from>
              <to>
                <xdr:col>18</xdr:col>
                <xdr:colOff>556260</xdr:colOff>
                <xdr:row>74</xdr:row>
                <xdr:rowOff>60960</xdr:rowOff>
              </to>
            </anchor>
          </objectPr>
        </oleObject>
      </mc:Choice>
      <mc:Fallback>
        <oleObject progId="Equation.DSMT4" shapeId="1111" r:id="rId92"/>
      </mc:Fallback>
    </mc:AlternateContent>
    <mc:AlternateContent xmlns:mc="http://schemas.openxmlformats.org/markup-compatibility/2006">
      <mc:Choice Requires="x14">
        <oleObject progId="Equation.DSMT4" shapeId="1113" r:id="rId94">
          <objectPr defaultSize="0" r:id="rId95">
            <anchor moveWithCells="1">
              <from>
                <xdr:col>4</xdr:col>
                <xdr:colOff>45720</xdr:colOff>
                <xdr:row>44</xdr:row>
                <xdr:rowOff>175260</xdr:rowOff>
              </from>
              <to>
                <xdr:col>6</xdr:col>
                <xdr:colOff>121920</xdr:colOff>
                <xdr:row>46</xdr:row>
                <xdr:rowOff>30480</xdr:rowOff>
              </to>
            </anchor>
          </objectPr>
        </oleObject>
      </mc:Choice>
      <mc:Fallback>
        <oleObject progId="Equation.DSMT4" shapeId="1113" r:id="rId94"/>
      </mc:Fallback>
    </mc:AlternateContent>
    <mc:AlternateContent xmlns:mc="http://schemas.openxmlformats.org/markup-compatibility/2006">
      <mc:Choice Requires="x14">
        <oleObject progId="Equation.DSMT4" shapeId="1114" r:id="rId96">
          <objectPr defaultSize="0" r:id="rId97">
            <anchor moveWithCells="1">
              <from>
                <xdr:col>7</xdr:col>
                <xdr:colOff>0</xdr:colOff>
                <xdr:row>57</xdr:row>
                <xdr:rowOff>0</xdr:rowOff>
              </from>
              <to>
                <xdr:col>7</xdr:col>
                <xdr:colOff>137160</xdr:colOff>
                <xdr:row>57</xdr:row>
                <xdr:rowOff>175260</xdr:rowOff>
              </to>
            </anchor>
          </objectPr>
        </oleObject>
      </mc:Choice>
      <mc:Fallback>
        <oleObject progId="Equation.DSMT4" shapeId="1114" r:id="rId96"/>
      </mc:Fallback>
    </mc:AlternateContent>
    <mc:AlternateContent xmlns:mc="http://schemas.openxmlformats.org/markup-compatibility/2006">
      <mc:Choice Requires="x14">
        <oleObject progId="Equation.DSMT4" shapeId="1115" r:id="rId98">
          <objectPr defaultSize="0" autoPict="0" r:id="rId99">
            <anchor moveWithCells="1">
              <from>
                <xdr:col>4</xdr:col>
                <xdr:colOff>60960</xdr:colOff>
                <xdr:row>65</xdr:row>
                <xdr:rowOff>22860</xdr:rowOff>
              </from>
              <to>
                <xdr:col>5</xdr:col>
                <xdr:colOff>563880</xdr:colOff>
                <xdr:row>66</xdr:row>
                <xdr:rowOff>60960</xdr:rowOff>
              </to>
            </anchor>
          </objectPr>
        </oleObject>
      </mc:Choice>
      <mc:Fallback>
        <oleObject progId="Equation.DSMT4" shapeId="1115" r:id="rId98"/>
      </mc:Fallback>
    </mc:AlternateContent>
    <mc:AlternateContent xmlns:mc="http://schemas.openxmlformats.org/markup-compatibility/2006">
      <mc:Choice Requires="x14">
        <oleObject progId="Equation.DSMT4" shapeId="1154" r:id="rId100">
          <objectPr defaultSize="0" autoPict="0" r:id="rId101">
            <anchor moveWithCells="1">
              <from>
                <xdr:col>4</xdr:col>
                <xdr:colOff>121920</xdr:colOff>
                <xdr:row>10</xdr:row>
                <xdr:rowOff>121920</xdr:rowOff>
              </from>
              <to>
                <xdr:col>6</xdr:col>
                <xdr:colOff>464820</xdr:colOff>
                <xdr:row>12</xdr:row>
                <xdr:rowOff>7620</xdr:rowOff>
              </to>
            </anchor>
          </objectPr>
        </oleObject>
      </mc:Choice>
      <mc:Fallback>
        <oleObject progId="Equation.DSMT4" shapeId="1154" r:id="rId100"/>
      </mc:Fallback>
    </mc:AlternateContent>
    <mc:AlternateContent xmlns:mc="http://schemas.openxmlformats.org/markup-compatibility/2006">
      <mc:Choice Requires="x14">
        <oleObject progId="Equation.DSMT4" shapeId="1155" r:id="rId102">
          <objectPr defaultSize="0" r:id="rId103">
            <anchor moveWithCells="1">
              <from>
                <xdr:col>4</xdr:col>
                <xdr:colOff>45720</xdr:colOff>
                <xdr:row>12</xdr:row>
                <xdr:rowOff>137160</xdr:rowOff>
              </from>
              <to>
                <xdr:col>4</xdr:col>
                <xdr:colOff>198120</xdr:colOff>
                <xdr:row>13</xdr:row>
                <xdr:rowOff>99060</xdr:rowOff>
              </to>
            </anchor>
          </objectPr>
        </oleObject>
      </mc:Choice>
      <mc:Fallback>
        <oleObject progId="Equation.DSMT4" shapeId="1155" r:id="rId102"/>
      </mc:Fallback>
    </mc:AlternateContent>
    <mc:AlternateContent xmlns:mc="http://schemas.openxmlformats.org/markup-compatibility/2006">
      <mc:Choice Requires="x14">
        <oleObject progId="Equation.DSMT4" shapeId="1156" r:id="rId104">
          <objectPr defaultSize="0" r:id="rId105">
            <anchor moveWithCells="1">
              <from>
                <xdr:col>8</xdr:col>
                <xdr:colOff>426720</xdr:colOff>
                <xdr:row>42</xdr:row>
                <xdr:rowOff>228600</xdr:rowOff>
              </from>
              <to>
                <xdr:col>9</xdr:col>
                <xdr:colOff>670560</xdr:colOff>
                <xdr:row>44</xdr:row>
                <xdr:rowOff>30480</xdr:rowOff>
              </to>
            </anchor>
          </objectPr>
        </oleObject>
      </mc:Choice>
      <mc:Fallback>
        <oleObject progId="Equation.DSMT4" shapeId="1156" r:id="rId104"/>
      </mc:Fallback>
    </mc:AlternateContent>
    <mc:AlternateContent xmlns:mc="http://schemas.openxmlformats.org/markup-compatibility/2006">
      <mc:Choice Requires="x14">
        <oleObject progId="Equation.DSMT4" shapeId="1172" r:id="rId106">
          <objectPr defaultSize="0" autoPict="0" r:id="rId107">
            <anchor moveWithCells="1">
              <from>
                <xdr:col>4</xdr:col>
                <xdr:colOff>60960</xdr:colOff>
                <xdr:row>36</xdr:row>
                <xdr:rowOff>60960</xdr:rowOff>
              </from>
              <to>
                <xdr:col>9</xdr:col>
                <xdr:colOff>457200</xdr:colOff>
                <xdr:row>38</xdr:row>
                <xdr:rowOff>137160</xdr:rowOff>
              </to>
            </anchor>
          </objectPr>
        </oleObject>
      </mc:Choice>
      <mc:Fallback>
        <oleObject progId="Equation.DSMT4" shapeId="1172" r:id="rId106"/>
      </mc:Fallback>
    </mc:AlternateContent>
    <mc:AlternateContent xmlns:mc="http://schemas.openxmlformats.org/markup-compatibility/2006">
      <mc:Choice Requires="x14">
        <oleObject progId="Equation.DSMT4" shapeId="1173" r:id="rId108">
          <objectPr defaultSize="0" r:id="rId109">
            <anchor moveWithCells="1">
              <from>
                <xdr:col>4</xdr:col>
                <xdr:colOff>30480</xdr:colOff>
                <xdr:row>39</xdr:row>
                <xdr:rowOff>45720</xdr:rowOff>
              </from>
              <to>
                <xdr:col>11</xdr:col>
                <xdr:colOff>411480</xdr:colOff>
                <xdr:row>41</xdr:row>
                <xdr:rowOff>137160</xdr:rowOff>
              </to>
            </anchor>
          </objectPr>
        </oleObject>
      </mc:Choice>
      <mc:Fallback>
        <oleObject progId="Equation.DSMT4" shapeId="1173" r:id="rId108"/>
      </mc:Fallback>
    </mc:AlternateContent>
    <mc:AlternateContent xmlns:mc="http://schemas.openxmlformats.org/markup-compatibility/2006">
      <mc:Choice Requires="x14">
        <oleObject progId="Equation.DSMT4" shapeId="1174" r:id="rId110">
          <objectPr defaultSize="0" autoPict="0" r:id="rId111">
            <anchor moveWithCells="1">
              <from>
                <xdr:col>15</xdr:col>
                <xdr:colOff>45720</xdr:colOff>
                <xdr:row>59</xdr:row>
                <xdr:rowOff>114300</xdr:rowOff>
              </from>
              <to>
                <xdr:col>19</xdr:col>
                <xdr:colOff>182880</xdr:colOff>
                <xdr:row>63</xdr:row>
                <xdr:rowOff>106680</xdr:rowOff>
              </to>
            </anchor>
          </objectPr>
        </oleObject>
      </mc:Choice>
      <mc:Fallback>
        <oleObject progId="Equation.DSMT4" shapeId="1174" r:id="rId110"/>
      </mc:Fallback>
    </mc:AlternateContent>
    <mc:AlternateContent xmlns:mc="http://schemas.openxmlformats.org/markup-compatibility/2006">
      <mc:Choice Requires="x14">
        <oleObject progId="Equation.DSMT4" shapeId="1176" r:id="rId112">
          <objectPr defaultSize="0" autoPict="0" r:id="rId109">
            <anchor moveWithCells="1">
              <from>
                <xdr:col>36</xdr:col>
                <xdr:colOff>7620</xdr:colOff>
                <xdr:row>0</xdr:row>
                <xdr:rowOff>30480</xdr:rowOff>
              </from>
              <to>
                <xdr:col>41</xdr:col>
                <xdr:colOff>228600</xdr:colOff>
                <xdr:row>1</xdr:row>
                <xdr:rowOff>160020</xdr:rowOff>
              </to>
            </anchor>
          </objectPr>
        </oleObject>
      </mc:Choice>
      <mc:Fallback>
        <oleObject progId="Equation.DSMT4" shapeId="1176" r:id="rId112"/>
      </mc:Fallback>
    </mc:AlternateContent>
    <mc:AlternateContent xmlns:mc="http://schemas.openxmlformats.org/markup-compatibility/2006">
      <mc:Choice Requires="x14">
        <oleObject progId="Equation.DSMT4" shapeId="1177" r:id="rId113">
          <objectPr defaultSize="0" autoPict="0" r:id="rId73">
            <anchor moveWithCells="1">
              <from>
                <xdr:col>43</xdr:col>
                <xdr:colOff>22860</xdr:colOff>
                <xdr:row>0</xdr:row>
                <xdr:rowOff>60960</xdr:rowOff>
              </from>
              <to>
                <xdr:col>49</xdr:col>
                <xdr:colOff>220980</xdr:colOff>
                <xdr:row>1</xdr:row>
                <xdr:rowOff>137160</xdr:rowOff>
              </to>
            </anchor>
          </objectPr>
        </oleObject>
      </mc:Choice>
      <mc:Fallback>
        <oleObject progId="Equation.DSMT4" shapeId="1177" r:id="rId113"/>
      </mc:Fallback>
    </mc:AlternateContent>
    <mc:AlternateContent xmlns:mc="http://schemas.openxmlformats.org/markup-compatibility/2006">
      <mc:Choice Requires="x14">
        <oleObject progId="Equation.DSMT4" shapeId="1178" r:id="rId114">
          <objectPr defaultSize="0" autoPict="0" r:id="rId75">
            <anchor moveWithCells="1">
              <from>
                <xdr:col>51</xdr:col>
                <xdr:colOff>22860</xdr:colOff>
                <xdr:row>0</xdr:row>
                <xdr:rowOff>22860</xdr:rowOff>
              </from>
              <to>
                <xdr:col>53</xdr:col>
                <xdr:colOff>480060</xdr:colOff>
                <xdr:row>1</xdr:row>
                <xdr:rowOff>152400</xdr:rowOff>
              </to>
            </anchor>
          </objectPr>
        </oleObject>
      </mc:Choice>
      <mc:Fallback>
        <oleObject progId="Equation.DSMT4" shapeId="1178" r:id="rId114"/>
      </mc:Fallback>
    </mc:AlternateContent>
    <mc:AlternateContent xmlns:mc="http://schemas.openxmlformats.org/markup-compatibility/2006">
      <mc:Choice Requires="x14">
        <oleObject progId="Equation.DSMT4" shapeId="1179" r:id="rId115">
          <objectPr defaultSize="0" r:id="rId116">
            <anchor moveWithCells="1">
              <from>
                <xdr:col>15</xdr:col>
                <xdr:colOff>22860</xdr:colOff>
                <xdr:row>76</xdr:row>
                <xdr:rowOff>175260</xdr:rowOff>
              </from>
              <to>
                <xdr:col>19</xdr:col>
                <xdr:colOff>541020</xdr:colOff>
                <xdr:row>79</xdr:row>
                <xdr:rowOff>38100</xdr:rowOff>
              </to>
            </anchor>
          </objectPr>
        </oleObject>
      </mc:Choice>
      <mc:Fallback>
        <oleObject progId="Equation.DSMT4" shapeId="1179" r:id="rId115"/>
      </mc:Fallback>
    </mc:AlternateContent>
    <mc:AlternateContent xmlns:mc="http://schemas.openxmlformats.org/markup-compatibility/2006">
      <mc:Choice Requires="x14">
        <oleObject progId="Equation.DSMT4" shapeId="1180" r:id="rId117">
          <objectPr defaultSize="0" r:id="rId118">
            <anchor moveWithCells="1">
              <from>
                <xdr:col>15</xdr:col>
                <xdr:colOff>76200</xdr:colOff>
                <xdr:row>82</xdr:row>
                <xdr:rowOff>137160</xdr:rowOff>
              </from>
              <to>
                <xdr:col>19</xdr:col>
                <xdr:colOff>68580</xdr:colOff>
                <xdr:row>85</xdr:row>
                <xdr:rowOff>7620</xdr:rowOff>
              </to>
            </anchor>
          </objectPr>
        </oleObject>
      </mc:Choice>
      <mc:Fallback>
        <oleObject progId="Equation.DSMT4" shapeId="1180" r:id="rId117"/>
      </mc:Fallback>
    </mc:AlternateContent>
    <mc:AlternateContent xmlns:mc="http://schemas.openxmlformats.org/markup-compatibility/2006">
      <mc:Choice Requires="x14">
        <oleObject progId="Equation.DSMT4" shapeId="1181" r:id="rId119">
          <objectPr defaultSize="0" autoPict="0" r:id="rId120">
            <anchor moveWithCells="1">
              <from>
                <xdr:col>58</xdr:col>
                <xdr:colOff>45720</xdr:colOff>
                <xdr:row>0</xdr:row>
                <xdr:rowOff>76200</xdr:rowOff>
              </from>
              <to>
                <xdr:col>66</xdr:col>
                <xdr:colOff>312420</xdr:colOff>
                <xdr:row>1</xdr:row>
                <xdr:rowOff>144780</xdr:rowOff>
              </to>
            </anchor>
          </objectPr>
        </oleObject>
      </mc:Choice>
      <mc:Fallback>
        <oleObject progId="Equation.DSMT4" shapeId="1181" r:id="rId11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 (2)</vt:lpstr>
      <vt:lpstr>GRAPHS ONLY</vt:lpstr>
      <vt:lpstr>MAIN OPEN ECONOMY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Tanner</dc:creator>
  <cp:lastModifiedBy>Evan Tanner</cp:lastModifiedBy>
  <dcterms:created xsi:type="dcterms:W3CDTF">2015-04-25T18:43:10Z</dcterms:created>
  <dcterms:modified xsi:type="dcterms:W3CDTF">2015-06-08T13:01:32Z</dcterms:modified>
</cp:coreProperties>
</file>